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Adult Day Care Center\"/>
    </mc:Choice>
  </mc:AlternateContent>
  <xr:revisionPtr revIDLastSave="0" documentId="13_ncr:1_{F366BF9A-717B-4487-A7EA-CD1F88BEA79F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4" l="1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L35" i="7" l="1"/>
  <c r="D33" i="23"/>
  <c r="D52" i="23" s="1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G33" i="23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I33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H10" i="11"/>
  <c r="G10" i="11"/>
  <c r="G8" i="11"/>
  <c r="E17" i="8"/>
  <c r="D18" i="8" s="1"/>
  <c r="G18" i="12"/>
  <c r="G22" i="12" s="1"/>
  <c r="A21" i="8"/>
  <c r="B20" i="8"/>
  <c r="L51" i="23" l="1"/>
  <c r="L33" i="23"/>
  <c r="L52" i="23" s="1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C38" i="11"/>
  <c r="I8" i="11"/>
  <c r="I10" i="11"/>
  <c r="E18" i="8"/>
  <c r="D19" i="8" s="1"/>
  <c r="H26" i="11" s="1"/>
  <c r="A23" i="8"/>
  <c r="B22" i="8"/>
  <c r="N51" i="23" l="1"/>
  <c r="F21" i="9" s="1"/>
  <c r="N33" i="23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<sst xmlns="http://schemas.openxmlformats.org/spreadsheetml/2006/main" count="322" uniqueCount="140">
  <si>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</si>
  <si>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</si>
  <si>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</si>
  <si>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</si>
  <si>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</si>
  <si>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</si>
  <si>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</si>
  <si>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</si>
  <si>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</si>
  <si>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</si>
  <si>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</si>
  <si>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</si>
  <si>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</si>
  <si>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</si>
  <si>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</si>
  <si>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</si>
  <si>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</si>
  <si>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</si>
  <si>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</si>
  <si>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</si>
  <si>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</si>
  <si>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</si>
  <si>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</si>
  <si>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</si>
  <si>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</si>
  <si>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</si>
  <si>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</si>
  <si>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</si>
  <si>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</si>
  <si>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</si>
  <si>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</si>
  <si>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</si>
  <si>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</si>
  <si>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</si>
  <si>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</si>
  <si>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</si>
  <si>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</si>
  <si>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</si>
  <si>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</si>
  <si>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</si>
  <si>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</si>
  <si>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</si>
  <si>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</si>
  <si>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</si>
  <si>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</si>
  <si>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</si>
  <si>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</si>
  <si>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</si>
  <si>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</si>
  <si>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</si>
  <si>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</si>
  <si>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</si>
  <si>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</si>
  <si>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</si>
  <si>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</si>
  <si>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</si>
  <si>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</si>
  <si>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</si>
  <si>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</si>
  <si>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</si>
  <si>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</si>
  <si>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</si>
  <si>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</si>
  <si>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</si>
  <si>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</si>
  <si>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</si>
  <si>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</si>
  <si>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</si>
  <si>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</si>
  <si>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</si>
  <si>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</si>
  <si>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</si>
  <si>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</si>
  <si>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</si>
  <si>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</si>
  <si>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</si>
  <si>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</si>
  <si>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</si>
  <si>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</si>
  <si>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</si>
  <si>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</si>
  <si>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</si>
  <si>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</si>
  <si>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</si>
  <si>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</si>
  <si>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</si>
  <si>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</si>
  <si>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</si>
  <si>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</si>
  <si>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</si>
  <si>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</si>
  <si>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</si>
  <si>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</si>
  <si>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</si>
  <si>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</si>
  <si>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</si>
  <si>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</si>
  <si>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</si>
  <si>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</si>
  <si>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</si>
  <si>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</si>
  <si>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</si>
  <si>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</si>
  <si>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</si>
  <si>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</si>
  <si>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</si>
  <si>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</si>
  <si>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</si>
  <si>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</si>
  <si>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</si>
  <si>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</si>
  <si>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</si>
  <si>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</si>
  <si>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</si>
  <si>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</si>
  <si>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</si>
  <si>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</si>
  <si>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</si>
  <si>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</si>
  <si>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</si>
  <si>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</si>
  <si>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</si>
  <si>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</si>
  <si>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</si>
  <si>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</si>
  <si>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</si>
  <si>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</si>
  <si>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</si>
  <si>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</si>
  <si>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</si>
  <si>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Care Services</t>
  </si>
  <si>
    <t>Care Staff</t>
  </si>
  <si>
    <t>Support Staff</t>
  </si>
  <si>
    <t>Meal Services</t>
  </si>
  <si>
    <t>Location Development and Equipment</t>
  </si>
  <si>
    <t>CompleteBizPlans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</si>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</sst>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130751.71831985867</c:v>
                </c:pt>
                <c:pt idx="1">
                  <c:v>205530.75403803337</c:v>
                </c:pt>
                <c:pt idx="2">
                  <c:v>271454.84391494794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8079.2400337642102</c:v>
                </c:pt>
                <c:pt idx="1">
                  <c:v>8837.1284768708392</c:v>
                </c:pt>
                <c:pt idx="2">
                  <c:v>9666.1120836059927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91526.202823901069</c:v>
                </c:pt>
                <c:pt idx="1">
                  <c:v>143871.52782662335</c:v>
                </c:pt>
                <c:pt idx="2">
                  <c:v>190018.39074046354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130751.71831985867</c:v>
                </c:pt>
                <c:pt idx="1">
                  <c:v>205530.75403803337</c:v>
                </c:pt>
                <c:pt idx="2">
                  <c:v>271454.84391494794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218-44D3-8D51-A4CCE15BC735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218-44D3-8D51-A4CCE15BC73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91526.202823901069</c:v>
                </c:pt>
                <c:pt idx="1">
                  <c:v>143871.52782662335</c:v>
                </c:pt>
                <c:pt idx="2">
                  <c:v>190018.39074046354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171646.27546219336</c:v>
                </c:pt>
                <c:pt idx="1">
                  <c:v>119920.75996623578</c:v>
                </c:pt>
                <c:pt idx="2">
                  <c:v>51725.515495957574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215028.37319673254</c:v>
                </c:pt>
                <c:pt idx="1">
                  <c:v>114143.63148936495</c:v>
                </c:pt>
                <c:pt idx="2">
                  <c:v>100884.74170736759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277419.91428761091</c:v>
                </c:pt>
                <c:pt idx="1">
                  <c:v>107598.71940575897</c:v>
                </c:pt>
                <c:pt idx="2">
                  <c:v>169821.19488185196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171646.27546219336</c:v>
                </c:pt>
                <c:pt idx="1">
                  <c:v>215028.37319673254</c:v>
                </c:pt>
                <c:pt idx="2">
                  <c:v>277419.91428761091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119920.75996623578</c:v>
                </c:pt>
                <c:pt idx="1">
                  <c:v>114143.63148936495</c:v>
                </c:pt>
                <c:pt idx="2">
                  <c:v>107598.71940575897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51725.515495957574</c:v>
                </c:pt>
                <c:pt idx="1">
                  <c:v>100884.74170736759</c:v>
                </c:pt>
                <c:pt idx="2">
                  <c:v>169821.19488185196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506922.72804310353</c:v>
                </c:pt>
                <c:pt idx="1">
                  <c:v>529636.40188448271</c:v>
                </c:pt>
                <c:pt idx="2">
                  <c:v>552539.06850336201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506922.72804310353</c:v>
                </c:pt>
                <c:pt idx="1">
                  <c:v>529636.40188448271</c:v>
                </c:pt>
                <c:pt idx="2">
                  <c:v>552539.06850336201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730782</c:v>
                </c:pt>
                <c:pt idx="1">
                  <c:v>876938.39999999991</c:v>
                </c:pt>
                <c:pt idx="2">
                  <c:v>1008479.1599999999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435578.04780000006</c:v>
                </c:pt>
                <c:pt idx="1">
                  <c:v>455094.98235999997</c:v>
                </c:pt>
                <c:pt idx="2">
                  <c:v>474774.31071399996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192353.15219999989</c:v>
                </c:pt>
                <c:pt idx="1">
                  <c:v>298422.45763999998</c:v>
                </c:pt>
                <c:pt idx="2">
                  <c:v>391770.7452859999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730782</c:v>
                </c:pt>
                <c:pt idx="1">
                  <c:v>876938.39999999991</c:v>
                </c:pt>
                <c:pt idx="2">
                  <c:v>1008479.1599999999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192353.15219999989</c:v>
                </c:pt>
                <c:pt idx="1">
                  <c:v>298422.45763999998</c:v>
                </c:pt>
                <c:pt idx="2">
                  <c:v>391770.7452859999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435578.04780000006</c:v>
                </c:pt>
                <c:pt idx="1">
                  <c:v>455094.98235999997</c:v>
                </c:pt>
                <c:pt idx="2">
                  <c:v>474774.31071399996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Care Services</c:v>
                </c:pt>
                <c:pt idx="1">
                  <c:v>Meal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171646.27546219336</c:v>
                </c:pt>
                <c:pt idx="1">
                  <c:v>215028.37319673254</c:v>
                </c:pt>
                <c:pt idx="2">
                  <c:v>277419.91428761091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119920.75996623578</c:v>
                </c:pt>
                <c:pt idx="1">
                  <c:v>114143.63148936495</c:v>
                </c:pt>
                <c:pt idx="2">
                  <c:v>107598.71940575897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51725.515495957574</c:v>
                </c:pt>
                <c:pt idx="1">
                  <c:v>100884.74170736759</c:v>
                </c:pt>
                <c:pt idx="2">
                  <c:v>169821.19488185196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Care Staff</c:v>
                </c:pt>
                <c:pt idx="3">
                  <c:v>Support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0.14925373134328357</c:v>
                </c:pt>
                <c:pt idx="1">
                  <c:v>0.13432835820895522</c:v>
                </c:pt>
                <c:pt idx="2">
                  <c:v>0.35820895522388058</c:v>
                </c:pt>
                <c:pt idx="3">
                  <c:v>0.22388059701492538</c:v>
                </c:pt>
                <c:pt idx="4">
                  <c:v>0.13432835820895522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Care Services</c:v>
                </c:pt>
                <c:pt idx="1">
                  <c:v>Meal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Location Development and Equipment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60000</c:v>
                </c:pt>
                <c:pt idx="1">
                  <c:v>25000</c:v>
                </c:pt>
                <c:pt idx="2">
                  <c:v>15000</c:v>
                </c:pt>
                <c:pt idx="3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730782</c:v>
                </c:pt>
                <c:pt idx="1">
                  <c:v>876938.39999999991</c:v>
                </c:pt>
                <c:pt idx="2">
                  <c:v>1008479.1599999999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435578.04780000006</c:v>
                </c:pt>
                <c:pt idx="1">
                  <c:v>455094.98235999997</c:v>
                </c:pt>
                <c:pt idx="2">
                  <c:v>474774.31071399996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192353.15219999989</c:v>
                </c:pt>
                <c:pt idx="1">
                  <c:v>298422.45763999998</c:v>
                </c:pt>
                <c:pt idx="2">
                  <c:v>391770.7452859999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730782</c:v>
                </c:pt>
                <c:pt idx="1">
                  <c:v>876938.39999999991</c:v>
                </c:pt>
                <c:pt idx="2">
                  <c:v>1008479.1599999999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192353.15219999989</c:v>
                </c:pt>
                <c:pt idx="1">
                  <c:v>298422.45763999998</c:v>
                </c:pt>
                <c:pt idx="2">
                  <c:v>391770.7452859999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435578.04780000006</c:v>
                </c:pt>
                <c:pt idx="1">
                  <c:v>455094.98235999997</c:v>
                </c:pt>
                <c:pt idx="2">
                  <c:v>474774.31071399996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130751.71831985867</c:v>
                </c:pt>
                <c:pt idx="1">
                  <c:v>205530.75403803337</c:v>
                </c:pt>
                <c:pt idx="2">
                  <c:v>271454.84391494794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8079.2400337642102</c:v>
                </c:pt>
                <c:pt idx="1">
                  <c:v>8837.1284768708392</c:v>
                </c:pt>
                <c:pt idx="2">
                  <c:v>9666.1120836059927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91526.202823901069</c:v>
                </c:pt>
                <c:pt idx="1">
                  <c:v>143871.52782662335</c:v>
                </c:pt>
                <c:pt idx="2">
                  <c:v>190018.39074046354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130751.71831985867</c:v>
                </c:pt>
                <c:pt idx="1">
                  <c:v>205530.75403803337</c:v>
                </c:pt>
                <c:pt idx="2">
                  <c:v>271454.84391494794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027-4E8C-9B7B-A324781DEBC1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027-4E8C-9B7B-A324781DEBC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91526.202823901069</c:v>
                </c:pt>
                <c:pt idx="1">
                  <c:v>143871.52782662335</c:v>
                </c:pt>
                <c:pt idx="2">
                  <c:v>190018.39074046354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438150</xdr:colOff>
      <xdr:row>28</xdr:row>
      <xdr:rowOff>66675</xdr:rowOff>
    </xdr:from>
    <xdr:to>
      <xdr:col>21</xdr:col>
      <xdr:colOff>219075</xdr:colOff>
      <xdr:row>39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846AEB-05E7-49D0-9A17-BBA83EF8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275" y="54006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66675</xdr:colOff>
      <xdr:row>0</xdr:row>
      <xdr:rowOff>180975</xdr:rowOff>
    </xdr:from>
    <xdr:to>
      <xdr:col>21</xdr:col>
      <xdr:colOff>457200</xdr:colOff>
      <xdr:row>11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410DB3-E322-47CF-A77A-9C81C6713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0" y="1809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485775</xdr:colOff>
      <xdr:row>1</xdr:row>
      <xdr:rowOff>9525</xdr:rowOff>
    </xdr:from>
    <xdr:to>
      <xdr:col>26</xdr:col>
      <xdr:colOff>266700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E865CF-6D0C-4614-976E-2CF10B9A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2000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533400</xdr:colOff>
      <xdr:row>0</xdr:row>
      <xdr:rowOff>133350</xdr:rowOff>
    </xdr:from>
    <xdr:to>
      <xdr:col>26</xdr:col>
      <xdr:colOff>314325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75024-683C-45B0-A35E-84237EDF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33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495300</xdr:colOff>
      <xdr:row>0</xdr:row>
      <xdr:rowOff>142875</xdr:rowOff>
    </xdr:from>
    <xdr:to>
      <xdr:col>26</xdr:col>
      <xdr:colOff>276225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B6FBE-6290-4A73-AC87-8A0D5A9B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0" y="142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4</xdr:row>
      <xdr:rowOff>57150</xdr:rowOff>
    </xdr:from>
    <xdr:to>
      <xdr:col>5</xdr:col>
      <xdr:colOff>847725</xdr:colOff>
      <xdr:row>15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C36C82-9510-419B-967B-F55BE62C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8191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57150</xdr:colOff>
      <xdr:row>17</xdr:row>
      <xdr:rowOff>47625</xdr:rowOff>
    </xdr:from>
    <xdr:to>
      <xdr:col>12</xdr:col>
      <xdr:colOff>352425</xdr:colOff>
      <xdr:row>28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46C21F-2B8F-403B-8AC0-E060356E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861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542925</xdr:colOff>
      <xdr:row>0</xdr:row>
      <xdr:rowOff>171450</xdr:rowOff>
    </xdr:from>
    <xdr:to>
      <xdr:col>26</xdr:col>
      <xdr:colOff>323850</xdr:colOff>
      <xdr:row>11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A98D9C-1E3E-41E5-9E0B-33EA8ADFF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0" y="171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180975</xdr:colOff>
      <xdr:row>1</xdr:row>
      <xdr:rowOff>171450</xdr:rowOff>
    </xdr:from>
    <xdr:to>
      <xdr:col>23</xdr:col>
      <xdr:colOff>571500</xdr:colOff>
      <xdr:row>12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B91318-D549-42C7-BA86-6F6CD18C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0" y="3619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161925</xdr:colOff>
      <xdr:row>0</xdr:row>
      <xdr:rowOff>180975</xdr:rowOff>
    </xdr:from>
    <xdr:to>
      <xdr:col>24</xdr:col>
      <xdr:colOff>552450</xdr:colOff>
      <xdr:row>11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49F8D-7591-42A3-8A6B-733B6121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1809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152400</xdr:colOff>
      <xdr:row>2</xdr:row>
      <xdr:rowOff>171450</xdr:rowOff>
    </xdr:from>
    <xdr:to>
      <xdr:col>23</xdr:col>
      <xdr:colOff>542925</xdr:colOff>
      <xdr:row>13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EC3DFE-AD2B-4F15-BB47-B385E5389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5524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571500</xdr:colOff>
      <xdr:row>1</xdr:row>
      <xdr:rowOff>0</xdr:rowOff>
    </xdr:from>
    <xdr:to>
      <xdr:col>23</xdr:col>
      <xdr:colOff>352425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60CD77-AFCB-4043-9582-68EE8CB9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5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504825</xdr:colOff>
      <xdr:row>3</xdr:row>
      <xdr:rowOff>85725</xdr:rowOff>
    </xdr:from>
    <xdr:to>
      <xdr:col>25</xdr:col>
      <xdr:colOff>285750</xdr:colOff>
      <xdr:row>14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1FF92-6770-4D6C-B7F1-357A54DB9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6572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U66"/>
  <sheetViews>
    <sheetView showGridLines="0" tabSelected="1" topLeftCell="A3" workbookViewId="0">
      <selection activeCell="C34" sqref="C34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111</v>
      </c>
      <c r="C4" s="147" t="s">
        <v>57</v>
      </c>
      <c r="D4" s="147" t="s">
        <v>10</v>
      </c>
      <c r="E4" s="147" t="s">
        <v>8</v>
      </c>
    </row>
    <row r="5" spans="2:5">
      <c r="B5" s="66" t="s">
        <v>130</v>
      </c>
      <c r="C5" s="148">
        <v>0.05</v>
      </c>
      <c r="D5" s="148">
        <v>0.95</v>
      </c>
      <c r="E5" s="148">
        <f>C5+D5</f>
        <v>1</v>
      </c>
    </row>
    <row r="6" spans="2:5">
      <c r="B6" s="66" t="s">
        <v>133</v>
      </c>
      <c r="C6" s="148">
        <v>0.4</v>
      </c>
      <c r="D6" s="148">
        <v>0.6</v>
      </c>
      <c r="E6" s="148">
        <f t="shared" ref="E6:E12" si="0">C6+D6</f>
        <v>1</v>
      </c>
    </row>
    <row r="7" spans="2:5">
      <c r="B7" s="66" t="s">
        <v>103</v>
      </c>
      <c r="C7" s="148">
        <v>0.05</v>
      </c>
      <c r="D7" s="148">
        <v>0.95</v>
      </c>
      <c r="E7" s="148">
        <f t="shared" si="0"/>
        <v>1</v>
      </c>
    </row>
    <row r="8" spans="2:5">
      <c r="B8" s="66" t="s">
        <v>104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105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106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107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108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109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110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14">
      <c r="B17" s="147" t="s">
        <v>112</v>
      </c>
      <c r="C17" s="147">
        <v>1</v>
      </c>
      <c r="D17" s="147">
        <v>2</v>
      </c>
      <c r="E17" s="147">
        <v>3</v>
      </c>
    </row>
    <row r="18" spans="2:14">
      <c r="B18" s="70" t="s">
        <v>118</v>
      </c>
      <c r="C18" s="94">
        <v>20000</v>
      </c>
      <c r="D18" s="94">
        <f>C18*1.03</f>
        <v>20600</v>
      </c>
      <c r="E18" s="94">
        <f>D18*1.03</f>
        <v>21218</v>
      </c>
    </row>
    <row r="19" spans="2:14">
      <c r="B19" s="70" t="s">
        <v>50</v>
      </c>
      <c r="C19" s="94">
        <f>'Profit and Loss Statement'!E6*0.0157</f>
        <v>11473.277399999999</v>
      </c>
      <c r="D19" s="94">
        <f>'Profit and Loss Statement'!F6*0.0157</f>
        <v>13767.932879999997</v>
      </c>
      <c r="E19" s="94">
        <f>'Profit and Loss Statement'!G6*0.0157</f>
        <v>15833.122811999998</v>
      </c>
    </row>
    <row r="20" spans="2:14">
      <c r="B20" s="70" t="s">
        <v>121</v>
      </c>
      <c r="C20" s="94">
        <f>'Profit and Loss Statement'!E6*0.0152</f>
        <v>11107.886399999999</v>
      </c>
      <c r="D20" s="94">
        <f>'Profit and Loss Statement'!F6*0.0152</f>
        <v>13329.463679999999</v>
      </c>
      <c r="E20" s="94">
        <f>'Profit and Loss Statement'!G6*0.0152</f>
        <v>15328.883231999998</v>
      </c>
    </row>
    <row r="21" spans="2:14">
      <c r="B21" s="70" t="s">
        <v>49</v>
      </c>
      <c r="C21" s="94">
        <f>'Personnel - Editable'!H16*0.06</f>
        <v>20100</v>
      </c>
      <c r="D21" s="94">
        <f>'Personnel - Editable'!I16*0.06</f>
        <v>20703</v>
      </c>
      <c r="E21" s="94">
        <f>'Personnel - Editable'!J16*0.06</f>
        <v>21324.09</v>
      </c>
      <c r="F21" s="120"/>
      <c r="G21" s="120"/>
    </row>
    <row r="22" spans="2:14">
      <c r="B22" s="70" t="s">
        <v>119</v>
      </c>
      <c r="C22" s="94">
        <f>'Profit and Loss Statement'!E6*0.012</f>
        <v>8769.384</v>
      </c>
      <c r="D22" s="94">
        <f>'Profit and Loss Statement'!F6*0.012</f>
        <v>10523.260799999998</v>
      </c>
      <c r="E22" s="94">
        <f>'Profit and Loss Statement'!G6*0.012</f>
        <v>12101.749919999998</v>
      </c>
      <c r="F22" s="1"/>
      <c r="G22" s="1"/>
    </row>
    <row r="23" spans="2:14">
      <c r="B23" s="70" t="s">
        <v>1</v>
      </c>
      <c r="C23" s="94">
        <v>3500</v>
      </c>
      <c r="D23" s="94">
        <f>C23*1.35</f>
        <v>4725</v>
      </c>
      <c r="E23" s="94">
        <f>D23*1.35</f>
        <v>6378.75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9" t="s">
        <v>113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14">
      <c r="B32" s="66" t="str">
        <f t="shared" ref="B32:B41" si="3">B5</f>
        <v>Care Services</v>
      </c>
      <c r="C32" s="94">
        <v>45000</v>
      </c>
      <c r="D32" s="94">
        <f>C32+20</f>
        <v>45020</v>
      </c>
      <c r="E32" s="94">
        <f t="shared" ref="E32:N32" si="4">D32+20</f>
        <v>45040</v>
      </c>
      <c r="F32" s="94">
        <f t="shared" si="4"/>
        <v>45060</v>
      </c>
      <c r="G32" s="94">
        <f t="shared" si="4"/>
        <v>45080</v>
      </c>
      <c r="H32" s="94">
        <f t="shared" si="4"/>
        <v>45100</v>
      </c>
      <c r="I32" s="94">
        <f t="shared" si="4"/>
        <v>45120</v>
      </c>
      <c r="J32" s="94">
        <f t="shared" si="4"/>
        <v>45140</v>
      </c>
      <c r="K32" s="94">
        <f t="shared" si="4"/>
        <v>45160</v>
      </c>
      <c r="L32" s="94">
        <f t="shared" si="4"/>
        <v>45180</v>
      </c>
      <c r="M32" s="94">
        <f t="shared" si="4"/>
        <v>45200</v>
      </c>
      <c r="N32" s="94">
        <f t="shared" si="4"/>
        <v>45220</v>
      </c>
    </row>
    <row r="33" spans="2:21">
      <c r="B33" s="66" t="str">
        <f t="shared" si="3"/>
        <v>Meal Services</v>
      </c>
      <c r="C33" s="94">
        <f>C32*0.35</f>
        <v>15749.999999999998</v>
      </c>
      <c r="D33" s="94">
        <f t="shared" ref="D33:N33" si="5">D32*0.35</f>
        <v>15756.999999999998</v>
      </c>
      <c r="E33" s="94">
        <f t="shared" si="5"/>
        <v>15763.999999999998</v>
      </c>
      <c r="F33" s="94">
        <f t="shared" si="5"/>
        <v>15770.999999999998</v>
      </c>
      <c r="G33" s="94">
        <f t="shared" si="5"/>
        <v>15777.999999999998</v>
      </c>
      <c r="H33" s="94">
        <f t="shared" si="5"/>
        <v>15784.999999999998</v>
      </c>
      <c r="I33" s="94">
        <f t="shared" si="5"/>
        <v>15791.999999999998</v>
      </c>
      <c r="J33" s="94">
        <f t="shared" si="5"/>
        <v>15798.999999999998</v>
      </c>
      <c r="K33" s="94">
        <f t="shared" si="5"/>
        <v>15805.999999999998</v>
      </c>
      <c r="L33" s="94">
        <f t="shared" si="5"/>
        <v>15812.999999999998</v>
      </c>
      <c r="M33" s="94">
        <f t="shared" si="5"/>
        <v>15819.999999999998</v>
      </c>
      <c r="N33" s="94">
        <f t="shared" si="5"/>
        <v>15826.999999999998</v>
      </c>
    </row>
    <row r="34" spans="2:21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21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21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21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21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21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21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21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21">
      <c r="B42" s="153" t="s">
        <v>8</v>
      </c>
      <c r="C42" s="154">
        <f>SUM(C32:C41)</f>
        <v>60750</v>
      </c>
      <c r="D42" s="154">
        <f t="shared" ref="D42:N42" si="6">SUM(D32:D41)</f>
        <v>60777</v>
      </c>
      <c r="E42" s="154">
        <f t="shared" si="6"/>
        <v>60804</v>
      </c>
      <c r="F42" s="154">
        <f t="shared" si="6"/>
        <v>60831</v>
      </c>
      <c r="G42" s="154">
        <f t="shared" si="6"/>
        <v>60858</v>
      </c>
      <c r="H42" s="154">
        <f t="shared" si="6"/>
        <v>60885</v>
      </c>
      <c r="I42" s="154">
        <f t="shared" si="6"/>
        <v>60912</v>
      </c>
      <c r="J42" s="154">
        <f t="shared" si="6"/>
        <v>60939</v>
      </c>
      <c r="K42" s="154">
        <f t="shared" si="6"/>
        <v>60966</v>
      </c>
      <c r="L42" s="154">
        <f t="shared" si="6"/>
        <v>60993</v>
      </c>
      <c r="M42" s="154">
        <f t="shared" si="6"/>
        <v>61020</v>
      </c>
      <c r="N42" s="154">
        <f t="shared" si="6"/>
        <v>61047</v>
      </c>
      <c r="R42" s="145" t="s">
        <v>139</v>
      </c>
    </row>
    <row r="44" spans="2:21">
      <c r="B44" s="146"/>
      <c r="C44" s="146"/>
      <c r="P44" s="112"/>
      <c r="Q44" s="112"/>
      <c r="R44" s="112"/>
      <c r="S44" s="112"/>
      <c r="T44" s="112"/>
      <c r="U44" s="112"/>
    </row>
    <row r="45" spans="2:21">
      <c r="B45" s="147" t="s">
        <v>128</v>
      </c>
      <c r="C45" s="147"/>
      <c r="P45" s="112"/>
      <c r="Q45" s="112"/>
      <c r="R45" s="112"/>
      <c r="S45" s="112" t="s">
        <v>135</v>
      </c>
      <c r="T45" s="112"/>
      <c r="U45" s="112"/>
    </row>
    <row r="46" spans="2:21">
      <c r="B46" s="66" t="s">
        <v>3</v>
      </c>
      <c r="C46" s="144">
        <v>0.2</v>
      </c>
      <c r="P46" s="112"/>
      <c r="Q46" s="112"/>
      <c r="R46" s="112"/>
      <c r="S46" s="112"/>
      <c r="T46" s="112"/>
      <c r="U46" s="112"/>
    </row>
    <row r="47" spans="2:21">
      <c r="B47" s="66" t="s">
        <v>4</v>
      </c>
      <c r="C47" s="144">
        <v>0.15</v>
      </c>
      <c r="P47" s="112"/>
      <c r="Q47" s="112"/>
      <c r="R47" s="112"/>
      <c r="S47" s="112"/>
      <c r="T47" s="112"/>
      <c r="U47" s="112"/>
    </row>
    <row r="48" spans="2:21">
      <c r="P48" s="112"/>
      <c r="Q48" s="112"/>
      <c r="R48" s="112"/>
      <c r="S48" s="112"/>
      <c r="T48" s="112"/>
      <c r="U48" s="112"/>
    </row>
    <row r="49" spans="2:21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P49" s="112"/>
      <c r="Q49" s="112"/>
      <c r="R49" s="112"/>
      <c r="S49" s="112"/>
      <c r="T49" s="112"/>
      <c r="U49" s="112"/>
    </row>
    <row r="50" spans="2:21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  <c r="P50" s="112"/>
      <c r="Q50" s="112"/>
      <c r="R50" s="112"/>
      <c r="S50" s="112"/>
      <c r="T50" s="112"/>
      <c r="U50" s="112"/>
    </row>
    <row r="51" spans="2:21">
      <c r="B51" s="112" t="str">
        <f t="shared" ref="B51:B60" si="8">B32</f>
        <v>Care Services</v>
      </c>
      <c r="C51" s="114">
        <f t="shared" ref="C51:N51" si="9">C32*($C$5/$E$5)</f>
        <v>2250</v>
      </c>
      <c r="D51" s="114">
        <f t="shared" si="9"/>
        <v>2251</v>
      </c>
      <c r="E51" s="114">
        <f t="shared" si="9"/>
        <v>2252</v>
      </c>
      <c r="F51" s="114">
        <f t="shared" si="9"/>
        <v>2253</v>
      </c>
      <c r="G51" s="114">
        <f t="shared" si="9"/>
        <v>2254</v>
      </c>
      <c r="H51" s="114">
        <f t="shared" si="9"/>
        <v>2255</v>
      </c>
      <c r="I51" s="114">
        <f t="shared" si="9"/>
        <v>2256</v>
      </c>
      <c r="J51" s="114">
        <f t="shared" si="9"/>
        <v>2257</v>
      </c>
      <c r="K51" s="114">
        <f t="shared" si="9"/>
        <v>2258</v>
      </c>
      <c r="L51" s="114">
        <f t="shared" si="9"/>
        <v>2259</v>
      </c>
      <c r="M51" s="114">
        <f t="shared" si="9"/>
        <v>2260</v>
      </c>
      <c r="N51" s="114">
        <f t="shared" si="9"/>
        <v>2261</v>
      </c>
      <c r="P51" s="112"/>
      <c r="Q51" s="112"/>
      <c r="R51" s="112"/>
      <c r="S51" s="112"/>
      <c r="T51" s="112"/>
      <c r="U51" s="112"/>
    </row>
    <row r="52" spans="2:21">
      <c r="B52" s="112" t="str">
        <f t="shared" si="8"/>
        <v>Meal Services</v>
      </c>
      <c r="C52" s="114">
        <f t="shared" ref="C52:N52" si="10">C33*($C$6/$E$6)</f>
        <v>6300</v>
      </c>
      <c r="D52" s="114">
        <f t="shared" si="10"/>
        <v>6302.7999999999993</v>
      </c>
      <c r="E52" s="114">
        <f t="shared" si="10"/>
        <v>6305.5999999999995</v>
      </c>
      <c r="F52" s="114">
        <f t="shared" si="10"/>
        <v>6308.4</v>
      </c>
      <c r="G52" s="114">
        <f t="shared" si="10"/>
        <v>6311.2</v>
      </c>
      <c r="H52" s="114">
        <f t="shared" si="10"/>
        <v>6314</v>
      </c>
      <c r="I52" s="114">
        <f t="shared" si="10"/>
        <v>6316.7999999999993</v>
      </c>
      <c r="J52" s="114">
        <f t="shared" si="10"/>
        <v>6319.5999999999995</v>
      </c>
      <c r="K52" s="114">
        <f t="shared" si="10"/>
        <v>6322.4</v>
      </c>
      <c r="L52" s="114">
        <f t="shared" si="10"/>
        <v>6325.2</v>
      </c>
      <c r="M52" s="114">
        <f t="shared" si="10"/>
        <v>6328</v>
      </c>
      <c r="N52" s="114">
        <f t="shared" si="10"/>
        <v>6330.7999999999993</v>
      </c>
      <c r="P52" s="112"/>
      <c r="Q52" s="112"/>
      <c r="R52" s="112"/>
      <c r="S52" s="112"/>
      <c r="T52" s="112"/>
      <c r="U52" s="112"/>
    </row>
    <row r="53" spans="2:21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  <c r="P53" s="112"/>
      <c r="Q53" s="112"/>
      <c r="R53" s="112"/>
      <c r="S53" s="112"/>
      <c r="T53" s="112" t="s">
        <v>135</v>
      </c>
      <c r="U53" s="112"/>
    </row>
    <row r="54" spans="2:21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  <c r="P54" s="112"/>
      <c r="Q54" s="112"/>
      <c r="R54" s="112"/>
      <c r="S54" s="112"/>
      <c r="T54" s="112"/>
      <c r="U54" s="112"/>
    </row>
    <row r="55" spans="2:21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  <c r="P55" s="112"/>
      <c r="Q55" s="112"/>
      <c r="R55" s="112"/>
      <c r="S55" s="112"/>
      <c r="T55" s="112"/>
      <c r="U55" s="112"/>
    </row>
    <row r="56" spans="2:21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  <c r="P56" s="112"/>
      <c r="Q56" s="112"/>
      <c r="R56" s="112"/>
      <c r="S56" s="112"/>
      <c r="T56" s="112"/>
      <c r="U56" s="112"/>
    </row>
    <row r="57" spans="2:21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21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21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21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21">
      <c r="B61" s="112" t="s">
        <v>8</v>
      </c>
      <c r="C61" s="114">
        <f>SUM(C51:C60)</f>
        <v>8550</v>
      </c>
      <c r="D61" s="114">
        <f t="shared" ref="D61:N61" si="19">SUM(D51:D60)</f>
        <v>8553.7999999999993</v>
      </c>
      <c r="E61" s="114">
        <f t="shared" si="19"/>
        <v>8557.5999999999985</v>
      </c>
      <c r="F61" s="114">
        <f t="shared" si="19"/>
        <v>8561.4</v>
      </c>
      <c r="G61" s="114">
        <f t="shared" si="19"/>
        <v>8565.2000000000007</v>
      </c>
      <c r="H61" s="114">
        <f t="shared" si="19"/>
        <v>8569</v>
      </c>
      <c r="I61" s="114">
        <f t="shared" si="19"/>
        <v>8572.7999999999993</v>
      </c>
      <c r="J61" s="114">
        <f t="shared" si="19"/>
        <v>8576.5999999999985</v>
      </c>
      <c r="K61" s="114">
        <f t="shared" si="19"/>
        <v>8580.4</v>
      </c>
      <c r="L61" s="114">
        <f t="shared" si="19"/>
        <v>8584.2000000000007</v>
      </c>
      <c r="M61" s="114">
        <f t="shared" si="19"/>
        <v>8588</v>
      </c>
      <c r="N61" s="114">
        <f t="shared" si="19"/>
        <v>8591.7999999999993</v>
      </c>
    </row>
    <row r="62" spans="2:21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21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21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52200</v>
      </c>
      <c r="D66" s="114">
        <f t="shared" si="21"/>
        <v>52223.199999999997</v>
      </c>
      <c r="E66" s="114">
        <f t="shared" si="21"/>
        <v>52246.400000000001</v>
      </c>
      <c r="F66" s="114">
        <f t="shared" si="21"/>
        <v>52269.599999999999</v>
      </c>
      <c r="G66" s="114">
        <f t="shared" si="21"/>
        <v>52292.800000000003</v>
      </c>
      <c r="H66" s="114">
        <f t="shared" si="21"/>
        <v>52316</v>
      </c>
      <c r="I66" s="114">
        <f t="shared" si="21"/>
        <v>52339.199999999997</v>
      </c>
      <c r="J66" s="114">
        <f t="shared" si="21"/>
        <v>52362.400000000001</v>
      </c>
      <c r="K66" s="114">
        <f t="shared" si="21"/>
        <v>52385.599999999999</v>
      </c>
      <c r="L66" s="114">
        <f t="shared" si="21"/>
        <v>52408.800000000003</v>
      </c>
      <c r="M66" s="114">
        <f t="shared" si="21"/>
        <v>52432</v>
      </c>
      <c r="N66" s="114">
        <f t="shared" si="21"/>
        <v>52455.199999999997</v>
      </c>
    </row>
  </sheetData>
  <sheetProtection algorithmName="SHA-512" hashValue="CFjDOj/cKypk+OvwXfWFCvlp86NSuX6bGIjB2Ac6nCxHPT6fnBbrmKa7bC8l7Y947pOolcwYLg+2J8RYyYTvdw==" saltValue="ekniQzmzGFFO7N+kg8MyGQ==" spinCount="100000" sheet="1" objects="1" scenarios="1" selectLockedCells="1"/>
  <hyperlinks>
    <hyperlink ref="R42" r:id="rId1" xr:uid="{0AB15C55-E0E3-428A-A894-9D98C3E7D797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N31" sqref="N31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125000</v>
      </c>
      <c r="C5" s="55"/>
      <c r="D5" s="56" t="s">
        <v>36</v>
      </c>
      <c r="E5" s="59">
        <f>PMT(B6/B8,(B7*B8),-B5)</f>
        <v>1583.4471718781185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65013.660625374236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1583.4471718781185</v>
      </c>
      <c r="C14" s="1">
        <f>B14-D14</f>
        <v>645.94717187811852</v>
      </c>
      <c r="D14" s="1">
        <f>(B5*($B$6/$B$8))</f>
        <v>937.5</v>
      </c>
      <c r="E14" s="1">
        <f>B5-C14</f>
        <v>124354.05282812189</v>
      </c>
    </row>
    <row r="15" spans="1:5">
      <c r="A15">
        <f>IF(($B$7*$B$8&gt;A14),IF(($B$7*$B$8)=A14,"",A14+1),"")</f>
        <v>2</v>
      </c>
      <c r="B15" s="1">
        <f>IF(A15="","",$B$14)</f>
        <v>1583.4471718781185</v>
      </c>
      <c r="C15" s="1">
        <f>IF(A15="","",B15-D15)</f>
        <v>650.79177566720443</v>
      </c>
      <c r="D15" s="1">
        <f>IF(A15="","",(E14*($B$6/$B$8)))</f>
        <v>932.65539621091409</v>
      </c>
      <c r="E15" s="1">
        <f>IF(A15="","",E14-C15)</f>
        <v>123703.26105245468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1583.4471718781185</v>
      </c>
      <c r="C16" s="1">
        <f t="shared" ref="C16:C79" si="2">IF(A16="","",B16-D16)</f>
        <v>655.67271398470848</v>
      </c>
      <c r="D16" s="1">
        <f t="shared" ref="D16:D79" si="3">IF(A16="","",(E15*($B$6/$B$8)))</f>
        <v>927.77445789341004</v>
      </c>
      <c r="E16" s="1">
        <f t="shared" ref="E16:E79" si="4">IF(A16="","",E15-C16)</f>
        <v>123047.58833846997</v>
      </c>
    </row>
    <row r="17" spans="1:5">
      <c r="A17">
        <f t="shared" si="0"/>
        <v>4</v>
      </c>
      <c r="B17" s="1">
        <f t="shared" si="1"/>
        <v>1583.4471718781185</v>
      </c>
      <c r="C17" s="1">
        <f t="shared" si="2"/>
        <v>660.59025933959379</v>
      </c>
      <c r="D17" s="1">
        <f t="shared" si="3"/>
        <v>922.85691253852474</v>
      </c>
      <c r="E17" s="1">
        <f t="shared" si="4"/>
        <v>122386.99807913038</v>
      </c>
    </row>
    <row r="18" spans="1:5">
      <c r="A18">
        <f t="shared" si="0"/>
        <v>5</v>
      </c>
      <c r="B18" s="1">
        <f t="shared" si="1"/>
        <v>1583.4471718781185</v>
      </c>
      <c r="C18" s="1">
        <f t="shared" si="2"/>
        <v>665.54468628464065</v>
      </c>
      <c r="D18" s="1">
        <f t="shared" si="3"/>
        <v>917.90248559347788</v>
      </c>
      <c r="E18" s="1">
        <f t="shared" si="4"/>
        <v>121721.45339284574</v>
      </c>
    </row>
    <row r="19" spans="1:5">
      <c r="A19">
        <f t="shared" si="0"/>
        <v>6</v>
      </c>
      <c r="B19" s="1">
        <f t="shared" si="1"/>
        <v>1583.4471718781185</v>
      </c>
      <c r="C19" s="1">
        <f t="shared" si="2"/>
        <v>670.5362714317755</v>
      </c>
      <c r="D19" s="1">
        <f t="shared" si="3"/>
        <v>912.91090044634302</v>
      </c>
      <c r="E19" s="1">
        <f t="shared" si="4"/>
        <v>121050.91712141396</v>
      </c>
    </row>
    <row r="20" spans="1:5">
      <c r="A20">
        <f t="shared" si="0"/>
        <v>7</v>
      </c>
      <c r="B20" s="1">
        <f t="shared" si="1"/>
        <v>1583.4471718781185</v>
      </c>
      <c r="C20" s="1">
        <f t="shared" si="2"/>
        <v>675.56529346751381</v>
      </c>
      <c r="D20" s="1">
        <f t="shared" si="3"/>
        <v>907.88187841060471</v>
      </c>
      <c r="E20" s="1">
        <f t="shared" si="4"/>
        <v>120375.35182794645</v>
      </c>
    </row>
    <row r="21" spans="1:5">
      <c r="A21">
        <f t="shared" si="0"/>
        <v>8</v>
      </c>
      <c r="B21" s="1">
        <f t="shared" si="1"/>
        <v>1583.4471718781185</v>
      </c>
      <c r="C21" s="1">
        <f t="shared" si="2"/>
        <v>680.63203316852025</v>
      </c>
      <c r="D21" s="1">
        <f t="shared" si="3"/>
        <v>902.81513870959827</v>
      </c>
      <c r="E21" s="1">
        <f t="shared" si="4"/>
        <v>119694.71979477792</v>
      </c>
    </row>
    <row r="22" spans="1:5">
      <c r="A22">
        <f t="shared" si="0"/>
        <v>9</v>
      </c>
      <c r="B22" s="1">
        <f t="shared" si="1"/>
        <v>1583.4471718781185</v>
      </c>
      <c r="C22" s="1">
        <f t="shared" si="2"/>
        <v>685.7367734172841</v>
      </c>
      <c r="D22" s="1">
        <f t="shared" si="3"/>
        <v>897.71039846083443</v>
      </c>
      <c r="E22" s="1">
        <f t="shared" si="4"/>
        <v>119008.98302136063</v>
      </c>
    </row>
    <row r="23" spans="1:5">
      <c r="A23">
        <f t="shared" si="0"/>
        <v>10</v>
      </c>
      <c r="B23" s="1">
        <f t="shared" si="1"/>
        <v>1583.4471718781185</v>
      </c>
      <c r="C23" s="1">
        <f t="shared" si="2"/>
        <v>690.87979921791384</v>
      </c>
      <c r="D23" s="1">
        <f t="shared" si="3"/>
        <v>892.56737266020468</v>
      </c>
      <c r="E23" s="1">
        <f t="shared" si="4"/>
        <v>118318.10322214272</v>
      </c>
    </row>
    <row r="24" spans="1:5">
      <c r="A24">
        <f t="shared" si="0"/>
        <v>11</v>
      </c>
      <c r="B24" s="1">
        <f t="shared" si="1"/>
        <v>1583.4471718781185</v>
      </c>
      <c r="C24" s="1">
        <f t="shared" si="2"/>
        <v>696.06139771204823</v>
      </c>
      <c r="D24" s="1">
        <f t="shared" si="3"/>
        <v>887.38577416607029</v>
      </c>
      <c r="E24" s="1">
        <f t="shared" si="4"/>
        <v>117622.04182443066</v>
      </c>
    </row>
    <row r="25" spans="1:5">
      <c r="A25">
        <f t="shared" si="0"/>
        <v>12</v>
      </c>
      <c r="B25" s="1">
        <f t="shared" si="1"/>
        <v>1583.4471718781185</v>
      </c>
      <c r="C25" s="1">
        <f t="shared" si="2"/>
        <v>701.28185819488863</v>
      </c>
      <c r="D25" s="1">
        <f t="shared" si="3"/>
        <v>882.1653136832299</v>
      </c>
      <c r="E25" s="1">
        <f t="shared" si="4"/>
        <v>116920.75996623578</v>
      </c>
    </row>
    <row r="26" spans="1:5">
      <c r="A26">
        <f t="shared" si="0"/>
        <v>13</v>
      </c>
      <c r="B26" s="1">
        <f t="shared" si="1"/>
        <v>1583.4471718781185</v>
      </c>
      <c r="C26" s="1">
        <f t="shared" si="2"/>
        <v>706.54147213135013</v>
      </c>
      <c r="D26" s="1">
        <f t="shared" si="3"/>
        <v>876.90569974676839</v>
      </c>
      <c r="E26" s="1">
        <f t="shared" si="4"/>
        <v>116214.21849410443</v>
      </c>
    </row>
    <row r="27" spans="1:5">
      <c r="A27">
        <f t="shared" si="0"/>
        <v>14</v>
      </c>
      <c r="B27" s="1">
        <f t="shared" si="1"/>
        <v>1583.4471718781185</v>
      </c>
      <c r="C27" s="1">
        <f t="shared" si="2"/>
        <v>711.84053317233531</v>
      </c>
      <c r="D27" s="1">
        <f t="shared" si="3"/>
        <v>871.60663870578321</v>
      </c>
      <c r="E27" s="1">
        <f t="shared" si="4"/>
        <v>115502.37796093209</v>
      </c>
    </row>
    <row r="28" spans="1:5">
      <c r="A28">
        <f t="shared" si="0"/>
        <v>15</v>
      </c>
      <c r="B28" s="1">
        <f t="shared" si="1"/>
        <v>1583.4471718781185</v>
      </c>
      <c r="C28" s="1">
        <f t="shared" si="2"/>
        <v>717.17933717112783</v>
      </c>
      <c r="D28" s="1">
        <f t="shared" si="3"/>
        <v>866.2678347069907</v>
      </c>
      <c r="E28" s="1">
        <f t="shared" si="4"/>
        <v>114785.19862376097</v>
      </c>
    </row>
    <row r="29" spans="1:5">
      <c r="A29">
        <f t="shared" si="0"/>
        <v>16</v>
      </c>
      <c r="B29" s="1">
        <f t="shared" si="1"/>
        <v>1583.4471718781185</v>
      </c>
      <c r="C29" s="1">
        <f t="shared" si="2"/>
        <v>722.55818219991136</v>
      </c>
      <c r="D29" s="1">
        <f t="shared" si="3"/>
        <v>860.88898967820717</v>
      </c>
      <c r="E29" s="1">
        <f t="shared" si="4"/>
        <v>114062.64044156106</v>
      </c>
    </row>
    <row r="30" spans="1:5">
      <c r="A30">
        <f t="shared" si="0"/>
        <v>17</v>
      </c>
      <c r="B30" s="1">
        <f t="shared" si="1"/>
        <v>1583.4471718781185</v>
      </c>
      <c r="C30" s="1">
        <f t="shared" si="2"/>
        <v>727.97736856641063</v>
      </c>
      <c r="D30" s="1">
        <f t="shared" si="3"/>
        <v>855.46980331170789</v>
      </c>
      <c r="E30" s="1">
        <f t="shared" si="4"/>
        <v>113334.66307299465</v>
      </c>
    </row>
    <row r="31" spans="1:5">
      <c r="A31">
        <f t="shared" si="0"/>
        <v>18</v>
      </c>
      <c r="B31" s="1">
        <f t="shared" si="1"/>
        <v>1583.4471718781185</v>
      </c>
      <c r="C31" s="1">
        <f t="shared" si="2"/>
        <v>733.43719883065864</v>
      </c>
      <c r="D31" s="1">
        <f t="shared" si="3"/>
        <v>850.00997304745988</v>
      </c>
      <c r="E31" s="1">
        <f t="shared" si="4"/>
        <v>112601.225874164</v>
      </c>
    </row>
    <row r="32" spans="1:5">
      <c r="A32">
        <f t="shared" si="0"/>
        <v>19</v>
      </c>
      <c r="B32" s="1">
        <f t="shared" si="1"/>
        <v>1583.4471718781185</v>
      </c>
      <c r="C32" s="1">
        <f t="shared" si="2"/>
        <v>738.93797782188858</v>
      </c>
      <c r="D32" s="1">
        <f t="shared" si="3"/>
        <v>844.50919405622994</v>
      </c>
      <c r="E32" s="1">
        <f t="shared" si="4"/>
        <v>111862.28789634211</v>
      </c>
    </row>
    <row r="33" spans="1:5">
      <c r="A33">
        <f t="shared" si="0"/>
        <v>20</v>
      </c>
      <c r="B33" s="1">
        <f t="shared" si="1"/>
        <v>1583.4471718781185</v>
      </c>
      <c r="C33" s="1">
        <f t="shared" si="2"/>
        <v>744.48001265555274</v>
      </c>
      <c r="D33" s="1">
        <f t="shared" si="3"/>
        <v>838.96715922256578</v>
      </c>
      <c r="E33" s="1">
        <f t="shared" si="4"/>
        <v>111117.80788368656</v>
      </c>
    </row>
    <row r="34" spans="1:5">
      <c r="A34">
        <f t="shared" si="0"/>
        <v>21</v>
      </c>
      <c r="B34" s="1">
        <f t="shared" si="1"/>
        <v>1583.4471718781185</v>
      </c>
      <c r="C34" s="1">
        <f t="shared" si="2"/>
        <v>750.06361275046936</v>
      </c>
      <c r="D34" s="1">
        <f t="shared" si="3"/>
        <v>833.38355912764916</v>
      </c>
      <c r="E34" s="1">
        <f t="shared" si="4"/>
        <v>110367.74427093609</v>
      </c>
    </row>
    <row r="35" spans="1:5">
      <c r="A35">
        <f t="shared" si="0"/>
        <v>22</v>
      </c>
      <c r="B35" s="1">
        <f t="shared" si="1"/>
        <v>1583.4471718781185</v>
      </c>
      <c r="C35" s="1">
        <f t="shared" si="2"/>
        <v>755.68908984609789</v>
      </c>
      <c r="D35" s="1">
        <f t="shared" si="3"/>
        <v>827.75808203202064</v>
      </c>
      <c r="E35" s="1">
        <f t="shared" si="4"/>
        <v>109612.05518108999</v>
      </c>
    </row>
    <row r="36" spans="1:5">
      <c r="A36">
        <f t="shared" si="0"/>
        <v>23</v>
      </c>
      <c r="B36" s="1">
        <f t="shared" si="1"/>
        <v>1583.4471718781185</v>
      </c>
      <c r="C36" s="1">
        <f t="shared" si="2"/>
        <v>761.35675801994364</v>
      </c>
      <c r="D36" s="1">
        <f t="shared" si="3"/>
        <v>822.09041385817488</v>
      </c>
      <c r="E36" s="1">
        <f t="shared" si="4"/>
        <v>108850.69842307005</v>
      </c>
    </row>
    <row r="37" spans="1:5">
      <c r="A37">
        <f t="shared" si="0"/>
        <v>24</v>
      </c>
      <c r="B37" s="1">
        <f t="shared" si="1"/>
        <v>1583.4471718781185</v>
      </c>
      <c r="C37" s="1">
        <f t="shared" si="2"/>
        <v>767.06693370509322</v>
      </c>
      <c r="D37" s="1">
        <f t="shared" si="3"/>
        <v>816.3802381730253</v>
      </c>
      <c r="E37" s="1">
        <f t="shared" si="4"/>
        <v>108083.63148936495</v>
      </c>
    </row>
    <row r="38" spans="1:5">
      <c r="A38">
        <f t="shared" si="0"/>
        <v>25</v>
      </c>
      <c r="B38" s="1">
        <f t="shared" si="1"/>
        <v>1583.4471718781185</v>
      </c>
      <c r="C38" s="1">
        <f t="shared" si="2"/>
        <v>772.81993570788143</v>
      </c>
      <c r="D38" s="1">
        <f t="shared" si="3"/>
        <v>810.6272361702371</v>
      </c>
      <c r="E38" s="1">
        <f t="shared" si="4"/>
        <v>107310.81155365707</v>
      </c>
    </row>
    <row r="39" spans="1:5">
      <c r="A39">
        <f t="shared" si="0"/>
        <v>26</v>
      </c>
      <c r="B39" s="1">
        <f t="shared" si="1"/>
        <v>1583.4471718781185</v>
      </c>
      <c r="C39" s="1">
        <f t="shared" si="2"/>
        <v>778.61608522569054</v>
      </c>
      <c r="D39" s="1">
        <f t="shared" si="3"/>
        <v>804.83108665242798</v>
      </c>
      <c r="E39" s="1">
        <f t="shared" si="4"/>
        <v>106532.19546843138</v>
      </c>
    </row>
    <row r="40" spans="1:5">
      <c r="A40">
        <f t="shared" si="0"/>
        <v>27</v>
      </c>
      <c r="B40" s="1">
        <f t="shared" si="1"/>
        <v>1583.4471718781185</v>
      </c>
      <c r="C40" s="1">
        <f t="shared" si="2"/>
        <v>784.45570586488316</v>
      </c>
      <c r="D40" s="1">
        <f t="shared" si="3"/>
        <v>798.99146601323537</v>
      </c>
      <c r="E40" s="1">
        <f t="shared" si="4"/>
        <v>105747.7397625665</v>
      </c>
    </row>
    <row r="41" spans="1:5">
      <c r="A41">
        <f t="shared" si="0"/>
        <v>28</v>
      </c>
      <c r="B41" s="1">
        <f t="shared" si="1"/>
        <v>1583.4471718781185</v>
      </c>
      <c r="C41" s="1">
        <f t="shared" si="2"/>
        <v>790.33912365886977</v>
      </c>
      <c r="D41" s="1">
        <f t="shared" si="3"/>
        <v>793.10804821924876</v>
      </c>
      <c r="E41" s="1">
        <f t="shared" si="4"/>
        <v>104957.40063890764</v>
      </c>
    </row>
    <row r="42" spans="1:5">
      <c r="A42">
        <f t="shared" si="0"/>
        <v>29</v>
      </c>
      <c r="B42" s="1">
        <f t="shared" si="1"/>
        <v>1583.4471718781185</v>
      </c>
      <c r="C42" s="1">
        <f t="shared" si="2"/>
        <v>796.26666708631126</v>
      </c>
      <c r="D42" s="1">
        <f t="shared" si="3"/>
        <v>787.18050479180727</v>
      </c>
      <c r="E42" s="1">
        <f t="shared" si="4"/>
        <v>104161.13397182133</v>
      </c>
    </row>
    <row r="43" spans="1:5">
      <c r="A43">
        <f t="shared" si="0"/>
        <v>30</v>
      </c>
      <c r="B43" s="1">
        <f t="shared" si="1"/>
        <v>1583.4471718781185</v>
      </c>
      <c r="C43" s="1">
        <f t="shared" si="2"/>
        <v>802.23866708945854</v>
      </c>
      <c r="D43" s="1">
        <f t="shared" si="3"/>
        <v>781.20850478865998</v>
      </c>
      <c r="E43" s="1">
        <f t="shared" si="4"/>
        <v>103358.89530473186</v>
      </c>
    </row>
    <row r="44" spans="1:5">
      <c r="A44">
        <f t="shared" si="0"/>
        <v>31</v>
      </c>
      <c r="B44" s="1">
        <f t="shared" si="1"/>
        <v>1583.4471718781185</v>
      </c>
      <c r="C44" s="1">
        <f t="shared" si="2"/>
        <v>808.25545709262951</v>
      </c>
      <c r="D44" s="1">
        <f t="shared" si="3"/>
        <v>775.19171478548901</v>
      </c>
      <c r="E44" s="1">
        <f t="shared" si="4"/>
        <v>102550.63984763924</v>
      </c>
    </row>
    <row r="45" spans="1:5">
      <c r="A45">
        <f t="shared" si="0"/>
        <v>32</v>
      </c>
      <c r="B45" s="1">
        <f t="shared" si="1"/>
        <v>1583.4471718781185</v>
      </c>
      <c r="C45" s="1">
        <f t="shared" si="2"/>
        <v>814.31737302082433</v>
      </c>
      <c r="D45" s="1">
        <f t="shared" si="3"/>
        <v>769.12979885729419</v>
      </c>
      <c r="E45" s="1">
        <f t="shared" si="4"/>
        <v>101736.32247461841</v>
      </c>
    </row>
    <row r="46" spans="1:5">
      <c r="A46">
        <f t="shared" si="0"/>
        <v>33</v>
      </c>
      <c r="B46" s="1">
        <f t="shared" si="1"/>
        <v>1583.4471718781185</v>
      </c>
      <c r="C46" s="1">
        <f t="shared" si="2"/>
        <v>820.4247533184805</v>
      </c>
      <c r="D46" s="1">
        <f t="shared" si="3"/>
        <v>763.02241855963803</v>
      </c>
      <c r="E46" s="1">
        <f t="shared" si="4"/>
        <v>100915.89772129993</v>
      </c>
    </row>
    <row r="47" spans="1:5">
      <c r="A47">
        <f t="shared" si="0"/>
        <v>34</v>
      </c>
      <c r="B47" s="1">
        <f t="shared" si="1"/>
        <v>1583.4471718781185</v>
      </c>
      <c r="C47" s="1">
        <f t="shared" si="2"/>
        <v>826.57793896836904</v>
      </c>
      <c r="D47" s="1">
        <f t="shared" si="3"/>
        <v>756.86923290974948</v>
      </c>
      <c r="E47" s="1">
        <f t="shared" si="4"/>
        <v>100089.31978233156</v>
      </c>
    </row>
    <row r="48" spans="1:5">
      <c r="A48">
        <f t="shared" si="0"/>
        <v>35</v>
      </c>
      <c r="B48" s="1">
        <f t="shared" si="1"/>
        <v>1583.4471718781185</v>
      </c>
      <c r="C48" s="1">
        <f t="shared" si="2"/>
        <v>832.77727351063186</v>
      </c>
      <c r="D48" s="1">
        <f t="shared" si="3"/>
        <v>750.66989836748667</v>
      </c>
      <c r="E48" s="1">
        <f t="shared" si="4"/>
        <v>99256.54250882093</v>
      </c>
    </row>
    <row r="49" spans="1:5">
      <c r="A49">
        <f t="shared" si="0"/>
        <v>36</v>
      </c>
      <c r="B49" s="1">
        <f t="shared" si="1"/>
        <v>1583.4471718781185</v>
      </c>
      <c r="C49" s="1">
        <f t="shared" si="2"/>
        <v>839.02310306196159</v>
      </c>
      <c r="D49" s="1">
        <f t="shared" si="3"/>
        <v>744.42406881615693</v>
      </c>
      <c r="E49" s="1">
        <f t="shared" si="4"/>
        <v>98417.519405758969</v>
      </c>
    </row>
    <row r="50" spans="1:5">
      <c r="A50">
        <f t="shared" si="0"/>
        <v>37</v>
      </c>
      <c r="B50" s="1">
        <f t="shared" si="1"/>
        <v>1583.4471718781185</v>
      </c>
      <c r="C50" s="1">
        <f t="shared" si="2"/>
        <v>845.31577633492634</v>
      </c>
      <c r="D50" s="1">
        <f t="shared" si="3"/>
        <v>738.13139554319218</v>
      </c>
      <c r="E50" s="1">
        <f t="shared" si="4"/>
        <v>97572.203629424039</v>
      </c>
    </row>
    <row r="51" spans="1:5">
      <c r="A51">
        <f t="shared" si="0"/>
        <v>38</v>
      </c>
      <c r="B51" s="1">
        <f t="shared" si="1"/>
        <v>1583.4471718781185</v>
      </c>
      <c r="C51" s="1">
        <f t="shared" si="2"/>
        <v>851.6556446574383</v>
      </c>
      <c r="D51" s="1">
        <f t="shared" si="3"/>
        <v>731.79152722068022</v>
      </c>
      <c r="E51" s="1">
        <f t="shared" si="4"/>
        <v>96720.547984766599</v>
      </c>
    </row>
    <row r="52" spans="1:5">
      <c r="A52">
        <f t="shared" si="0"/>
        <v>39</v>
      </c>
      <c r="B52" s="1">
        <f t="shared" si="1"/>
        <v>1583.4471718781185</v>
      </c>
      <c r="C52" s="1">
        <f t="shared" si="2"/>
        <v>858.04306199236908</v>
      </c>
      <c r="D52" s="1">
        <f t="shared" si="3"/>
        <v>725.40410988574945</v>
      </c>
      <c r="E52" s="1">
        <f t="shared" si="4"/>
        <v>95862.504922774227</v>
      </c>
    </row>
    <row r="53" spans="1:5">
      <c r="A53">
        <f t="shared" si="0"/>
        <v>40</v>
      </c>
      <c r="B53" s="1">
        <f t="shared" si="1"/>
        <v>1583.4471718781185</v>
      </c>
      <c r="C53" s="1">
        <f t="shared" si="2"/>
        <v>864.47838495731185</v>
      </c>
      <c r="D53" s="1">
        <f t="shared" si="3"/>
        <v>718.96878692080668</v>
      </c>
      <c r="E53" s="1">
        <f t="shared" si="4"/>
        <v>94998.026537816913</v>
      </c>
    </row>
    <row r="54" spans="1:5">
      <c r="A54">
        <f t="shared" si="0"/>
        <v>41</v>
      </c>
      <c r="B54" s="1">
        <f t="shared" si="1"/>
        <v>1583.4471718781185</v>
      </c>
      <c r="C54" s="1">
        <f t="shared" si="2"/>
        <v>870.9619728444917</v>
      </c>
      <c r="D54" s="1">
        <f t="shared" si="3"/>
        <v>712.48519903362683</v>
      </c>
      <c r="E54" s="1">
        <f t="shared" si="4"/>
        <v>94127.064564972417</v>
      </c>
    </row>
    <row r="55" spans="1:5">
      <c r="A55">
        <f t="shared" si="0"/>
        <v>42</v>
      </c>
      <c r="B55" s="1">
        <f t="shared" si="1"/>
        <v>1583.4471718781185</v>
      </c>
      <c r="C55" s="1">
        <f t="shared" si="2"/>
        <v>877.49418764082543</v>
      </c>
      <c r="D55" s="1">
        <f t="shared" si="3"/>
        <v>705.95298423729309</v>
      </c>
      <c r="E55" s="1">
        <f t="shared" si="4"/>
        <v>93249.570377331591</v>
      </c>
    </row>
    <row r="56" spans="1:5">
      <c r="A56">
        <f t="shared" si="0"/>
        <v>43</v>
      </c>
      <c r="B56" s="1">
        <f t="shared" si="1"/>
        <v>1583.4471718781185</v>
      </c>
      <c r="C56" s="1">
        <f t="shared" si="2"/>
        <v>884.07539404813167</v>
      </c>
      <c r="D56" s="1">
        <f t="shared" si="3"/>
        <v>699.37177782998685</v>
      </c>
      <c r="E56" s="1">
        <f t="shared" si="4"/>
        <v>92365.494983283454</v>
      </c>
    </row>
    <row r="57" spans="1:5">
      <c r="A57">
        <f t="shared" si="0"/>
        <v>44</v>
      </c>
      <c r="B57" s="1">
        <f t="shared" si="1"/>
        <v>1583.4471718781185</v>
      </c>
      <c r="C57" s="1">
        <f t="shared" si="2"/>
        <v>890.70595950349264</v>
      </c>
      <c r="D57" s="1">
        <f t="shared" si="3"/>
        <v>692.74121237462589</v>
      </c>
      <c r="E57" s="1">
        <f t="shared" si="4"/>
        <v>91474.789023779958</v>
      </c>
    </row>
    <row r="58" spans="1:5">
      <c r="A58">
        <f t="shared" si="0"/>
        <v>45</v>
      </c>
      <c r="B58" s="1">
        <f t="shared" si="1"/>
        <v>1583.4471718781185</v>
      </c>
      <c r="C58" s="1">
        <f t="shared" si="2"/>
        <v>897.38625419976881</v>
      </c>
      <c r="D58" s="1">
        <f t="shared" si="3"/>
        <v>686.06091767834971</v>
      </c>
      <c r="E58" s="1">
        <f t="shared" si="4"/>
        <v>90577.402769580192</v>
      </c>
    </row>
    <row r="59" spans="1:5">
      <c r="A59">
        <f t="shared" si="0"/>
        <v>46</v>
      </c>
      <c r="B59" s="1">
        <f t="shared" si="1"/>
        <v>1583.4471718781185</v>
      </c>
      <c r="C59" s="1">
        <f t="shared" si="2"/>
        <v>904.11665110626711</v>
      </c>
      <c r="D59" s="1">
        <f t="shared" si="3"/>
        <v>679.33052077185141</v>
      </c>
      <c r="E59" s="1">
        <f t="shared" si="4"/>
        <v>89673.28611847393</v>
      </c>
    </row>
    <row r="60" spans="1:5">
      <c r="A60">
        <f t="shared" si="0"/>
        <v>47</v>
      </c>
      <c r="B60" s="1">
        <f t="shared" si="1"/>
        <v>1583.4471718781185</v>
      </c>
      <c r="C60" s="1">
        <f t="shared" si="2"/>
        <v>910.89752598956409</v>
      </c>
      <c r="D60" s="1">
        <f t="shared" si="3"/>
        <v>672.54964588855444</v>
      </c>
      <c r="E60" s="1">
        <f t="shared" si="4"/>
        <v>88762.388592484363</v>
      </c>
    </row>
    <row r="61" spans="1:5">
      <c r="A61">
        <f t="shared" si="0"/>
        <v>48</v>
      </c>
      <c r="B61" s="1">
        <f t="shared" si="1"/>
        <v>1583.4471718781185</v>
      </c>
      <c r="C61" s="1">
        <f t="shared" si="2"/>
        <v>917.72925743448582</v>
      </c>
      <c r="D61" s="1">
        <f t="shared" si="3"/>
        <v>665.71791444363271</v>
      </c>
      <c r="E61" s="1">
        <f t="shared" si="4"/>
        <v>87844.659335049873</v>
      </c>
    </row>
    <row r="62" spans="1:5">
      <c r="A62">
        <f t="shared" si="0"/>
        <v>49</v>
      </c>
      <c r="B62" s="1">
        <f t="shared" si="1"/>
        <v>1583.4471718781185</v>
      </c>
      <c r="C62" s="1">
        <f t="shared" si="2"/>
        <v>924.61222686524445</v>
      </c>
      <c r="D62" s="1">
        <f t="shared" si="3"/>
        <v>658.83494501287407</v>
      </c>
      <c r="E62" s="1">
        <f t="shared" si="4"/>
        <v>86920.047108184634</v>
      </c>
    </row>
    <row r="63" spans="1:5">
      <c r="A63">
        <f t="shared" si="0"/>
        <v>50</v>
      </c>
      <c r="B63" s="1">
        <f t="shared" si="1"/>
        <v>1583.4471718781185</v>
      </c>
      <c r="C63" s="1">
        <f t="shared" si="2"/>
        <v>931.5468185667338</v>
      </c>
      <c r="D63" s="1">
        <f t="shared" si="3"/>
        <v>651.90035331138472</v>
      </c>
      <c r="E63" s="1">
        <f t="shared" si="4"/>
        <v>85988.500289617907</v>
      </c>
    </row>
    <row r="64" spans="1:5">
      <c r="A64">
        <f t="shared" si="0"/>
        <v>51</v>
      </c>
      <c r="B64" s="1">
        <f t="shared" si="1"/>
        <v>1583.4471718781185</v>
      </c>
      <c r="C64" s="1">
        <f t="shared" si="2"/>
        <v>938.53341970598422</v>
      </c>
      <c r="D64" s="1">
        <f t="shared" si="3"/>
        <v>644.91375217213431</v>
      </c>
      <c r="E64" s="1">
        <f t="shared" si="4"/>
        <v>85049.966869911921</v>
      </c>
    </row>
    <row r="65" spans="1:5">
      <c r="A65">
        <f t="shared" si="0"/>
        <v>52</v>
      </c>
      <c r="B65" s="1">
        <f t="shared" si="1"/>
        <v>1583.4471718781185</v>
      </c>
      <c r="C65" s="1">
        <f t="shared" si="2"/>
        <v>945.57242035377919</v>
      </c>
      <c r="D65" s="1">
        <f t="shared" si="3"/>
        <v>637.87475152433933</v>
      </c>
      <c r="E65" s="1">
        <f t="shared" si="4"/>
        <v>84104.394449558138</v>
      </c>
    </row>
    <row r="66" spans="1:5">
      <c r="A66">
        <f t="shared" si="0"/>
        <v>53</v>
      </c>
      <c r="B66" s="1">
        <f t="shared" si="1"/>
        <v>1583.4471718781185</v>
      </c>
      <c r="C66" s="1">
        <f t="shared" si="2"/>
        <v>952.66421350643247</v>
      </c>
      <c r="D66" s="1">
        <f t="shared" si="3"/>
        <v>630.78295837168605</v>
      </c>
      <c r="E66" s="1">
        <f t="shared" si="4"/>
        <v>83151.730236051706</v>
      </c>
    </row>
    <row r="67" spans="1:5">
      <c r="A67">
        <f t="shared" si="0"/>
        <v>54</v>
      </c>
      <c r="B67" s="1">
        <f t="shared" si="1"/>
        <v>1583.4471718781185</v>
      </c>
      <c r="C67" s="1">
        <f t="shared" si="2"/>
        <v>959.80919510773072</v>
      </c>
      <c r="D67" s="1">
        <f t="shared" si="3"/>
        <v>623.63797677038781</v>
      </c>
      <c r="E67" s="1">
        <f t="shared" si="4"/>
        <v>82191.921040943969</v>
      </c>
    </row>
    <row r="68" spans="1:5">
      <c r="A68">
        <f t="shared" si="0"/>
        <v>55</v>
      </c>
      <c r="B68" s="1">
        <f t="shared" si="1"/>
        <v>1583.4471718781185</v>
      </c>
      <c r="C68" s="1">
        <f t="shared" si="2"/>
        <v>967.00776407103876</v>
      </c>
      <c r="D68" s="1">
        <f t="shared" si="3"/>
        <v>616.43940780707976</v>
      </c>
      <c r="E68" s="1">
        <f t="shared" si="4"/>
        <v>81224.913276872932</v>
      </c>
    </row>
    <row r="69" spans="1:5">
      <c r="A69">
        <f t="shared" si="0"/>
        <v>56</v>
      </c>
      <c r="B69" s="1">
        <f t="shared" si="1"/>
        <v>1583.4471718781185</v>
      </c>
      <c r="C69" s="1">
        <f t="shared" si="2"/>
        <v>974.26032230157159</v>
      </c>
      <c r="D69" s="1">
        <f t="shared" si="3"/>
        <v>609.18684957654693</v>
      </c>
      <c r="E69" s="1">
        <f t="shared" si="4"/>
        <v>80250.652954571357</v>
      </c>
    </row>
    <row r="70" spans="1:5">
      <c r="A70">
        <f t="shared" si="0"/>
        <v>57</v>
      </c>
      <c r="B70" s="1">
        <f t="shared" si="1"/>
        <v>1583.4471718781185</v>
      </c>
      <c r="C70" s="1">
        <f t="shared" si="2"/>
        <v>981.56727471883335</v>
      </c>
      <c r="D70" s="1">
        <f t="shared" si="3"/>
        <v>601.87989715928518</v>
      </c>
      <c r="E70" s="1">
        <f t="shared" si="4"/>
        <v>79269.08567985252</v>
      </c>
    </row>
    <row r="71" spans="1:5">
      <c r="A71">
        <f t="shared" si="0"/>
        <v>58</v>
      </c>
      <c r="B71" s="1">
        <f t="shared" si="1"/>
        <v>1583.4471718781185</v>
      </c>
      <c r="C71" s="1">
        <f t="shared" si="2"/>
        <v>988.92902927922466</v>
      </c>
      <c r="D71" s="1">
        <f t="shared" si="3"/>
        <v>594.51814259889386</v>
      </c>
      <c r="E71" s="1">
        <f t="shared" si="4"/>
        <v>78280.156650573292</v>
      </c>
    </row>
    <row r="72" spans="1:5">
      <c r="A72">
        <f t="shared" si="0"/>
        <v>59</v>
      </c>
      <c r="B72" s="1">
        <f t="shared" si="1"/>
        <v>1583.4471718781185</v>
      </c>
      <c r="C72" s="1">
        <f t="shared" si="2"/>
        <v>996.3459969988188</v>
      </c>
      <c r="D72" s="1">
        <f t="shared" si="3"/>
        <v>587.10117487929972</v>
      </c>
      <c r="E72" s="1">
        <f t="shared" si="4"/>
        <v>77283.810653574474</v>
      </c>
    </row>
    <row r="73" spans="1:5">
      <c r="A73">
        <f t="shared" si="0"/>
        <v>60</v>
      </c>
      <c r="B73" s="1">
        <f t="shared" si="1"/>
        <v>1583.4471718781185</v>
      </c>
      <c r="C73" s="1">
        <f t="shared" si="2"/>
        <v>1003.81859197631</v>
      </c>
      <c r="D73" s="1">
        <f t="shared" si="3"/>
        <v>579.62857990180851</v>
      </c>
      <c r="E73" s="1">
        <f t="shared" si="4"/>
        <v>76279.992061598168</v>
      </c>
    </row>
    <row r="74" spans="1:5">
      <c r="A74">
        <f t="shared" si="0"/>
        <v>61</v>
      </c>
      <c r="B74" s="1">
        <f t="shared" si="1"/>
        <v>1583.4471718781185</v>
      </c>
      <c r="C74" s="1">
        <f t="shared" si="2"/>
        <v>1011.3472314161323</v>
      </c>
      <c r="D74" s="1">
        <f t="shared" si="3"/>
        <v>572.09994046198619</v>
      </c>
      <c r="E74" s="1">
        <f t="shared" si="4"/>
        <v>75268.644830182035</v>
      </c>
    </row>
    <row r="75" spans="1:5">
      <c r="A75">
        <f t="shared" si="0"/>
        <v>62</v>
      </c>
      <c r="B75" s="1">
        <f t="shared" si="1"/>
        <v>1583.4471718781185</v>
      </c>
      <c r="C75" s="1">
        <f t="shared" si="2"/>
        <v>1018.9323356517533</v>
      </c>
      <c r="D75" s="1">
        <f t="shared" si="3"/>
        <v>564.51483622636522</v>
      </c>
      <c r="E75" s="1">
        <f t="shared" si="4"/>
        <v>74249.712494530278</v>
      </c>
    </row>
    <row r="76" spans="1:5">
      <c r="A76">
        <f t="shared" si="0"/>
        <v>63</v>
      </c>
      <c r="B76" s="1">
        <f t="shared" si="1"/>
        <v>1583.4471718781185</v>
      </c>
      <c r="C76" s="1">
        <f t="shared" si="2"/>
        <v>1026.5743281691416</v>
      </c>
      <c r="D76" s="1">
        <f t="shared" si="3"/>
        <v>556.87284370897703</v>
      </c>
      <c r="E76" s="1">
        <f t="shared" si="4"/>
        <v>73223.138166361139</v>
      </c>
    </row>
    <row r="77" spans="1:5">
      <c r="A77">
        <f t="shared" si="0"/>
        <v>64</v>
      </c>
      <c r="B77" s="1">
        <f t="shared" si="1"/>
        <v>1583.4471718781185</v>
      </c>
      <c r="C77" s="1">
        <f t="shared" si="2"/>
        <v>1034.2736356304099</v>
      </c>
      <c r="D77" s="1">
        <f t="shared" si="3"/>
        <v>549.17353624770851</v>
      </c>
      <c r="E77" s="1">
        <f t="shared" si="4"/>
        <v>72188.864530730731</v>
      </c>
    </row>
    <row r="78" spans="1:5">
      <c r="A78">
        <f t="shared" si="0"/>
        <v>65</v>
      </c>
      <c r="B78" s="1">
        <f t="shared" si="1"/>
        <v>1583.4471718781185</v>
      </c>
      <c r="C78" s="1">
        <f t="shared" si="2"/>
        <v>1042.030687897638</v>
      </c>
      <c r="D78" s="1">
        <f t="shared" si="3"/>
        <v>541.41648398048051</v>
      </c>
      <c r="E78" s="1">
        <f t="shared" si="4"/>
        <v>71146.83384283309</v>
      </c>
    </row>
    <row r="79" spans="1:5">
      <c r="A79">
        <f t="shared" si="0"/>
        <v>66</v>
      </c>
      <c r="B79" s="1">
        <f t="shared" si="1"/>
        <v>1583.4471718781185</v>
      </c>
      <c r="C79" s="1">
        <f t="shared" si="2"/>
        <v>1049.8459180568702</v>
      </c>
      <c r="D79" s="1">
        <f t="shared" si="3"/>
        <v>533.60125382124818</v>
      </c>
      <c r="E79" s="1">
        <f t="shared" si="4"/>
        <v>70096.987924776215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1583.4471718781185</v>
      </c>
      <c r="C80" s="1">
        <f t="shared" ref="C80:C143" si="7">IF(A80="","",B80-D80)</f>
        <v>1057.719762442297</v>
      </c>
      <c r="D80" s="1">
        <f t="shared" ref="D80:D143" si="8">IF(A80="","",(E79*($B$6/$B$8)))</f>
        <v>525.72740943582164</v>
      </c>
      <c r="E80" s="1">
        <f t="shared" ref="E80:E143" si="9">IF(A80="","",E79-C80)</f>
        <v>69039.268162333916</v>
      </c>
    </row>
    <row r="81" spans="1:5">
      <c r="A81">
        <f t="shared" si="5"/>
        <v>68</v>
      </c>
      <c r="B81" s="1">
        <f t="shared" si="6"/>
        <v>1583.4471718781185</v>
      </c>
      <c r="C81" s="1">
        <f t="shared" si="7"/>
        <v>1065.6526606606142</v>
      </c>
      <c r="D81" s="1">
        <f t="shared" si="8"/>
        <v>517.79451121750435</v>
      </c>
      <c r="E81" s="1">
        <f t="shared" si="9"/>
        <v>67973.615501673296</v>
      </c>
    </row>
    <row r="82" spans="1:5">
      <c r="A82">
        <f t="shared" si="5"/>
        <v>69</v>
      </c>
      <c r="B82" s="1">
        <f t="shared" si="6"/>
        <v>1583.4471718781185</v>
      </c>
      <c r="C82" s="1">
        <f t="shared" si="7"/>
        <v>1073.6450556155687</v>
      </c>
      <c r="D82" s="1">
        <f t="shared" si="8"/>
        <v>509.8021162625497</v>
      </c>
      <c r="E82" s="1">
        <f t="shared" si="9"/>
        <v>66899.970446057734</v>
      </c>
    </row>
    <row r="83" spans="1:5">
      <c r="A83">
        <f t="shared" si="5"/>
        <v>70</v>
      </c>
      <c r="B83" s="1">
        <f t="shared" si="6"/>
        <v>1583.4471718781185</v>
      </c>
      <c r="C83" s="1">
        <f t="shared" si="7"/>
        <v>1081.6973935326855</v>
      </c>
      <c r="D83" s="1">
        <f t="shared" si="8"/>
        <v>501.74977834543301</v>
      </c>
      <c r="E83" s="1">
        <f t="shared" si="9"/>
        <v>65818.273052525052</v>
      </c>
    </row>
    <row r="84" spans="1:5">
      <c r="A84">
        <f t="shared" si="5"/>
        <v>71</v>
      </c>
      <c r="B84" s="1">
        <f t="shared" si="6"/>
        <v>1583.4471718781185</v>
      </c>
      <c r="C84" s="1">
        <f t="shared" si="7"/>
        <v>1089.8101239841808</v>
      </c>
      <c r="D84" s="1">
        <f t="shared" si="8"/>
        <v>493.63704789393785</v>
      </c>
      <c r="E84" s="1">
        <f t="shared" si="9"/>
        <v>64728.462928540874</v>
      </c>
    </row>
    <row r="85" spans="1:5">
      <c r="A85">
        <f t="shared" si="5"/>
        <v>72</v>
      </c>
      <c r="B85" s="1">
        <f t="shared" si="6"/>
        <v>1583.4471718781185</v>
      </c>
      <c r="C85" s="1">
        <f t="shared" si="7"/>
        <v>1097.9836999140621</v>
      </c>
      <c r="D85" s="1">
        <f t="shared" si="8"/>
        <v>485.46347196405651</v>
      </c>
      <c r="E85" s="1">
        <f t="shared" si="9"/>
        <v>63630.479228626813</v>
      </c>
    </row>
    <row r="86" spans="1:5">
      <c r="A86">
        <f t="shared" si="5"/>
        <v>73</v>
      </c>
      <c r="B86" s="1">
        <f t="shared" si="6"/>
        <v>1583.4471718781185</v>
      </c>
      <c r="C86" s="1">
        <f t="shared" si="7"/>
        <v>1106.2185776634174</v>
      </c>
      <c r="D86" s="1">
        <f t="shared" si="8"/>
        <v>477.2285942147011</v>
      </c>
      <c r="E86" s="1">
        <f t="shared" si="9"/>
        <v>62524.260650963399</v>
      </c>
    </row>
    <row r="87" spans="1:5">
      <c r="A87">
        <f t="shared" si="5"/>
        <v>74</v>
      </c>
      <c r="B87" s="1">
        <f t="shared" si="6"/>
        <v>1583.4471718781185</v>
      </c>
      <c r="C87" s="1">
        <f t="shared" si="7"/>
        <v>1114.5152169958931</v>
      </c>
      <c r="D87" s="1">
        <f t="shared" si="8"/>
        <v>468.93195488222545</v>
      </c>
      <c r="E87" s="1">
        <f t="shared" si="9"/>
        <v>61409.745433967502</v>
      </c>
    </row>
    <row r="88" spans="1:5">
      <c r="A88">
        <f t="shared" si="5"/>
        <v>75</v>
      </c>
      <c r="B88" s="1">
        <f t="shared" si="6"/>
        <v>1583.4471718781185</v>
      </c>
      <c r="C88" s="1">
        <f t="shared" si="7"/>
        <v>1122.8740811233622</v>
      </c>
      <c r="D88" s="1">
        <f t="shared" si="8"/>
        <v>460.57309075475627</v>
      </c>
      <c r="E88" s="1">
        <f t="shared" si="9"/>
        <v>60286.871352844137</v>
      </c>
    </row>
    <row r="89" spans="1:5">
      <c r="A89">
        <f t="shared" si="5"/>
        <v>76</v>
      </c>
      <c r="B89" s="1">
        <f t="shared" si="6"/>
        <v>1583.4471718781185</v>
      </c>
      <c r="C89" s="1">
        <f t="shared" si="7"/>
        <v>1131.2956367317875</v>
      </c>
      <c r="D89" s="1">
        <f t="shared" si="8"/>
        <v>452.15153514633101</v>
      </c>
      <c r="E89" s="1">
        <f t="shared" si="9"/>
        <v>59155.575716112347</v>
      </c>
    </row>
    <row r="90" spans="1:5">
      <c r="A90">
        <f t="shared" si="5"/>
        <v>77</v>
      </c>
      <c r="B90" s="1">
        <f t="shared" si="6"/>
        <v>1583.4471718781185</v>
      </c>
      <c r="C90" s="1">
        <f t="shared" si="7"/>
        <v>1139.7803540072759</v>
      </c>
      <c r="D90" s="1">
        <f t="shared" si="8"/>
        <v>443.66681787084258</v>
      </c>
      <c r="E90" s="1">
        <f t="shared" si="9"/>
        <v>58015.795362105069</v>
      </c>
    </row>
    <row r="91" spans="1:5">
      <c r="A91">
        <f t="shared" si="5"/>
        <v>78</v>
      </c>
      <c r="B91" s="1">
        <f t="shared" si="6"/>
        <v>1583.4471718781185</v>
      </c>
      <c r="C91" s="1">
        <f t="shared" si="7"/>
        <v>1148.3287066623307</v>
      </c>
      <c r="D91" s="1">
        <f t="shared" si="8"/>
        <v>435.11846521578798</v>
      </c>
      <c r="E91" s="1">
        <f t="shared" si="9"/>
        <v>56867.466655442739</v>
      </c>
    </row>
    <row r="92" spans="1:5">
      <c r="A92">
        <f t="shared" si="5"/>
        <v>79</v>
      </c>
      <c r="B92" s="1">
        <f t="shared" si="6"/>
        <v>1583.4471718781185</v>
      </c>
      <c r="C92" s="1">
        <f t="shared" si="7"/>
        <v>1156.9411719622981</v>
      </c>
      <c r="D92" s="1">
        <f t="shared" si="8"/>
        <v>426.5059999158205</v>
      </c>
      <c r="E92" s="1">
        <f t="shared" si="9"/>
        <v>55710.525483480444</v>
      </c>
    </row>
    <row r="93" spans="1:5">
      <c r="A93">
        <f t="shared" si="5"/>
        <v>80</v>
      </c>
      <c r="B93" s="1">
        <f t="shared" si="6"/>
        <v>1583.4471718781185</v>
      </c>
      <c r="C93" s="1">
        <f t="shared" si="7"/>
        <v>1165.6182307520153</v>
      </c>
      <c r="D93" s="1">
        <f t="shared" si="8"/>
        <v>417.8289411261033</v>
      </c>
      <c r="E93" s="1">
        <f t="shared" si="9"/>
        <v>54544.90725272843</v>
      </c>
    </row>
    <row r="94" spans="1:5">
      <c r="A94">
        <f t="shared" si="5"/>
        <v>81</v>
      </c>
      <c r="B94" s="1">
        <f t="shared" si="6"/>
        <v>1583.4471718781185</v>
      </c>
      <c r="C94" s="1">
        <f t="shared" si="7"/>
        <v>1174.3603674826554</v>
      </c>
      <c r="D94" s="1">
        <f t="shared" si="8"/>
        <v>409.08680439546322</v>
      </c>
      <c r="E94" s="1">
        <f t="shared" si="9"/>
        <v>53370.546885245771</v>
      </c>
    </row>
    <row r="95" spans="1:5">
      <c r="A95">
        <f t="shared" si="5"/>
        <v>82</v>
      </c>
      <c r="B95" s="1">
        <f t="shared" si="6"/>
        <v>1583.4471718781185</v>
      </c>
      <c r="C95" s="1">
        <f t="shared" si="7"/>
        <v>1183.1680702387753</v>
      </c>
      <c r="D95" s="1">
        <f t="shared" si="8"/>
        <v>400.27910163934325</v>
      </c>
      <c r="E95" s="1">
        <f t="shared" si="9"/>
        <v>52187.378815006996</v>
      </c>
    </row>
    <row r="96" spans="1:5">
      <c r="A96">
        <f t="shared" si="5"/>
        <v>83</v>
      </c>
      <c r="B96" s="1">
        <f t="shared" si="6"/>
        <v>1583.4471718781185</v>
      </c>
      <c r="C96" s="1">
        <f t="shared" si="7"/>
        <v>1192.0418307655661</v>
      </c>
      <c r="D96" s="1">
        <f t="shared" si="8"/>
        <v>391.40534111255243</v>
      </c>
      <c r="E96" s="1">
        <f t="shared" si="9"/>
        <v>50995.336984241432</v>
      </c>
    </row>
    <row r="97" spans="1:5">
      <c r="A97">
        <f t="shared" si="5"/>
        <v>84</v>
      </c>
      <c r="B97" s="1">
        <f t="shared" si="6"/>
        <v>1583.4471718781185</v>
      </c>
      <c r="C97" s="1">
        <f t="shared" si="7"/>
        <v>1200.9821444963077</v>
      </c>
      <c r="D97" s="1">
        <f t="shared" si="8"/>
        <v>382.46502738181073</v>
      </c>
      <c r="E97" s="1">
        <f t="shared" si="9"/>
        <v>49794.354839745123</v>
      </c>
    </row>
    <row r="98" spans="1:5">
      <c r="A98">
        <f t="shared" si="5"/>
        <v>85</v>
      </c>
      <c r="B98" s="1">
        <f t="shared" si="6"/>
        <v>1583.4471718781185</v>
      </c>
      <c r="C98" s="1">
        <f t="shared" si="7"/>
        <v>1209.9895105800301</v>
      </c>
      <c r="D98" s="1">
        <f t="shared" si="8"/>
        <v>373.4576612980884</v>
      </c>
      <c r="E98" s="1">
        <f t="shared" si="9"/>
        <v>48584.365329165092</v>
      </c>
    </row>
    <row r="99" spans="1:5">
      <c r="A99">
        <f t="shared" si="5"/>
        <v>86</v>
      </c>
      <c r="B99" s="1">
        <f t="shared" si="6"/>
        <v>1583.4471718781185</v>
      </c>
      <c r="C99" s="1">
        <f t="shared" si="7"/>
        <v>1219.0644319093803</v>
      </c>
      <c r="D99" s="1">
        <f t="shared" si="8"/>
        <v>364.38273996873818</v>
      </c>
      <c r="E99" s="1">
        <f t="shared" si="9"/>
        <v>47365.300897255715</v>
      </c>
    </row>
    <row r="100" spans="1:5">
      <c r="A100">
        <f t="shared" si="5"/>
        <v>87</v>
      </c>
      <c r="B100" s="1">
        <f t="shared" si="6"/>
        <v>1583.4471718781185</v>
      </c>
      <c r="C100" s="1">
        <f t="shared" si="7"/>
        <v>1228.2074151487006</v>
      </c>
      <c r="D100" s="1">
        <f t="shared" si="8"/>
        <v>355.23975672941782</v>
      </c>
      <c r="E100" s="1">
        <f t="shared" si="9"/>
        <v>46137.093482107011</v>
      </c>
    </row>
    <row r="101" spans="1:5">
      <c r="A101">
        <f t="shared" si="5"/>
        <v>88</v>
      </c>
      <c r="B101" s="1">
        <f t="shared" si="6"/>
        <v>1583.4471718781185</v>
      </c>
      <c r="C101" s="1">
        <f t="shared" si="7"/>
        <v>1237.4189707623159</v>
      </c>
      <c r="D101" s="1">
        <f t="shared" si="8"/>
        <v>346.02820111580257</v>
      </c>
      <c r="E101" s="1">
        <f t="shared" si="9"/>
        <v>44899.674511344696</v>
      </c>
    </row>
    <row r="102" spans="1:5">
      <c r="A102">
        <f t="shared" si="5"/>
        <v>89</v>
      </c>
      <c r="B102" s="1">
        <f t="shared" si="6"/>
        <v>1583.4471718781185</v>
      </c>
      <c r="C102" s="1">
        <f t="shared" si="7"/>
        <v>1246.6996130430334</v>
      </c>
      <c r="D102" s="1">
        <f t="shared" si="8"/>
        <v>336.74755883508521</v>
      </c>
      <c r="E102" s="1">
        <f t="shared" si="9"/>
        <v>43652.974898301662</v>
      </c>
    </row>
    <row r="103" spans="1:5">
      <c r="A103">
        <f t="shared" si="5"/>
        <v>90</v>
      </c>
      <c r="B103" s="1">
        <f t="shared" si="6"/>
        <v>1583.4471718781185</v>
      </c>
      <c r="C103" s="1">
        <f t="shared" si="7"/>
        <v>1256.049860140856</v>
      </c>
      <c r="D103" s="1">
        <f t="shared" si="8"/>
        <v>327.39731173726244</v>
      </c>
      <c r="E103" s="1">
        <f t="shared" si="9"/>
        <v>42396.925038160807</v>
      </c>
    </row>
    <row r="104" spans="1:5">
      <c r="A104">
        <f t="shared" si="5"/>
        <v>91</v>
      </c>
      <c r="B104" s="1">
        <f t="shared" si="6"/>
        <v>1583.4471718781185</v>
      </c>
      <c r="C104" s="1">
        <f t="shared" si="7"/>
        <v>1265.4702340919125</v>
      </c>
      <c r="D104" s="1">
        <f t="shared" si="8"/>
        <v>317.97693778620607</v>
      </c>
      <c r="E104" s="1">
        <f t="shared" si="9"/>
        <v>41131.454804068897</v>
      </c>
    </row>
    <row r="105" spans="1:5">
      <c r="A105">
        <f t="shared" si="5"/>
        <v>92</v>
      </c>
      <c r="B105" s="1">
        <f t="shared" si="6"/>
        <v>1583.4471718781185</v>
      </c>
      <c r="C105" s="1">
        <f t="shared" si="7"/>
        <v>1274.9612608476018</v>
      </c>
      <c r="D105" s="1">
        <f t="shared" si="8"/>
        <v>308.48591103051672</v>
      </c>
      <c r="E105" s="1">
        <f t="shared" si="9"/>
        <v>39856.493543221295</v>
      </c>
    </row>
    <row r="106" spans="1:5">
      <c r="A106">
        <f t="shared" si="5"/>
        <v>93</v>
      </c>
      <c r="B106" s="1">
        <f t="shared" si="6"/>
        <v>1583.4471718781185</v>
      </c>
      <c r="C106" s="1">
        <f t="shared" si="7"/>
        <v>1284.5234703039589</v>
      </c>
      <c r="D106" s="1">
        <f t="shared" si="8"/>
        <v>298.92370157415968</v>
      </c>
      <c r="E106" s="1">
        <f t="shared" si="9"/>
        <v>38571.970072917335</v>
      </c>
    </row>
    <row r="107" spans="1:5">
      <c r="A107">
        <f t="shared" si="5"/>
        <v>94</v>
      </c>
      <c r="B107" s="1">
        <f t="shared" si="6"/>
        <v>1583.4471718781185</v>
      </c>
      <c r="C107" s="1">
        <f t="shared" si="7"/>
        <v>1294.1573963312385</v>
      </c>
      <c r="D107" s="1">
        <f t="shared" si="8"/>
        <v>289.28977554687998</v>
      </c>
      <c r="E107" s="1">
        <f t="shared" si="9"/>
        <v>37277.812676586094</v>
      </c>
    </row>
    <row r="108" spans="1:5">
      <c r="A108">
        <f t="shared" si="5"/>
        <v>95</v>
      </c>
      <c r="B108" s="1">
        <f t="shared" si="6"/>
        <v>1583.4471718781185</v>
      </c>
      <c r="C108" s="1">
        <f t="shared" si="7"/>
        <v>1303.8635768037229</v>
      </c>
      <c r="D108" s="1">
        <f t="shared" si="8"/>
        <v>279.5835950743957</v>
      </c>
      <c r="E108" s="1">
        <f t="shared" si="9"/>
        <v>35973.949099782374</v>
      </c>
    </row>
    <row r="109" spans="1:5">
      <c r="A109">
        <f t="shared" si="5"/>
        <v>96</v>
      </c>
      <c r="B109" s="1">
        <f t="shared" si="6"/>
        <v>1583.4471718781185</v>
      </c>
      <c r="C109" s="1">
        <f t="shared" si="7"/>
        <v>1313.6425536297506</v>
      </c>
      <c r="D109" s="1">
        <f t="shared" si="8"/>
        <v>269.80461824836777</v>
      </c>
      <c r="E109" s="1">
        <f t="shared" si="9"/>
        <v>34660.30654615262</v>
      </c>
    </row>
    <row r="110" spans="1:5">
      <c r="A110">
        <f t="shared" si="5"/>
        <v>97</v>
      </c>
      <c r="B110" s="1">
        <f t="shared" si="6"/>
        <v>1583.4471718781185</v>
      </c>
      <c r="C110" s="1">
        <f t="shared" si="7"/>
        <v>1323.4948727819738</v>
      </c>
      <c r="D110" s="1">
        <f t="shared" si="8"/>
        <v>259.95229909614466</v>
      </c>
      <c r="E110" s="1">
        <f t="shared" si="9"/>
        <v>33336.811673370648</v>
      </c>
    </row>
    <row r="111" spans="1:5">
      <c r="A111">
        <f t="shared" si="5"/>
        <v>98</v>
      </c>
      <c r="B111" s="1">
        <f t="shared" si="6"/>
        <v>1583.4471718781185</v>
      </c>
      <c r="C111" s="1">
        <f t="shared" si="7"/>
        <v>1333.4210843278388</v>
      </c>
      <c r="D111" s="1">
        <f t="shared" si="8"/>
        <v>250.02608755027984</v>
      </c>
      <c r="E111" s="1">
        <f t="shared" si="9"/>
        <v>32003.39058904281</v>
      </c>
    </row>
    <row r="112" spans="1:5">
      <c r="A112">
        <f t="shared" si="5"/>
        <v>99</v>
      </c>
      <c r="B112" s="1">
        <f t="shared" si="6"/>
        <v>1583.4471718781185</v>
      </c>
      <c r="C112" s="1">
        <f t="shared" si="7"/>
        <v>1343.4217424602975</v>
      </c>
      <c r="D112" s="1">
        <f t="shared" si="8"/>
        <v>240.02542941782107</v>
      </c>
      <c r="E112" s="1">
        <f t="shared" si="9"/>
        <v>30659.968846582513</v>
      </c>
    </row>
    <row r="113" spans="1:5">
      <c r="A113">
        <f t="shared" si="5"/>
        <v>100</v>
      </c>
      <c r="B113" s="1">
        <f t="shared" si="6"/>
        <v>1583.4471718781185</v>
      </c>
      <c r="C113" s="1">
        <f t="shared" si="7"/>
        <v>1353.4974055287496</v>
      </c>
      <c r="D113" s="1">
        <f t="shared" si="8"/>
        <v>229.94976634936884</v>
      </c>
      <c r="E113" s="1">
        <f t="shared" si="9"/>
        <v>29306.471441053764</v>
      </c>
    </row>
    <row r="114" spans="1:5">
      <c r="A114">
        <f t="shared" si="5"/>
        <v>101</v>
      </c>
      <c r="B114" s="1">
        <f t="shared" si="6"/>
        <v>1583.4471718781185</v>
      </c>
      <c r="C114" s="1">
        <f t="shared" si="7"/>
        <v>1363.6486360702154</v>
      </c>
      <c r="D114" s="1">
        <f t="shared" si="8"/>
        <v>219.79853580790322</v>
      </c>
      <c r="E114" s="1">
        <f t="shared" si="9"/>
        <v>27942.822804983549</v>
      </c>
    </row>
    <row r="115" spans="1:5">
      <c r="A115">
        <f t="shared" si="5"/>
        <v>102</v>
      </c>
      <c r="B115" s="1">
        <f t="shared" si="6"/>
        <v>1583.4471718781185</v>
      </c>
      <c r="C115" s="1">
        <f t="shared" si="7"/>
        <v>1373.8760008407419</v>
      </c>
      <c r="D115" s="1">
        <f t="shared" si="8"/>
        <v>209.57117103737662</v>
      </c>
      <c r="E115" s="1">
        <f t="shared" si="9"/>
        <v>26568.946804142808</v>
      </c>
    </row>
    <row r="116" spans="1:5">
      <c r="A116">
        <f t="shared" si="5"/>
        <v>103</v>
      </c>
      <c r="B116" s="1">
        <f t="shared" si="6"/>
        <v>1583.4471718781185</v>
      </c>
      <c r="C116" s="1">
        <f t="shared" si="7"/>
        <v>1384.1800708470475</v>
      </c>
      <c r="D116" s="1">
        <f t="shared" si="8"/>
        <v>199.26710103107106</v>
      </c>
      <c r="E116" s="1">
        <f t="shared" si="9"/>
        <v>25184.766733295761</v>
      </c>
    </row>
    <row r="117" spans="1:5">
      <c r="A117">
        <f t="shared" si="5"/>
        <v>104</v>
      </c>
      <c r="B117" s="1">
        <f t="shared" si="6"/>
        <v>1583.4471718781185</v>
      </c>
      <c r="C117" s="1">
        <f t="shared" si="7"/>
        <v>1394.5614213784004</v>
      </c>
      <c r="D117" s="1">
        <f t="shared" si="8"/>
        <v>188.8857504997182</v>
      </c>
      <c r="E117" s="1">
        <f t="shared" si="9"/>
        <v>23790.205311917362</v>
      </c>
    </row>
    <row r="118" spans="1:5">
      <c r="A118">
        <f t="shared" si="5"/>
        <v>105</v>
      </c>
      <c r="B118" s="1">
        <f t="shared" si="6"/>
        <v>1583.4471718781185</v>
      </c>
      <c r="C118" s="1">
        <f t="shared" si="7"/>
        <v>1405.0206320387383</v>
      </c>
      <c r="D118" s="1">
        <f t="shared" si="8"/>
        <v>178.42653983938021</v>
      </c>
      <c r="E118" s="1">
        <f t="shared" si="9"/>
        <v>22385.184679878625</v>
      </c>
    </row>
    <row r="119" spans="1:5">
      <c r="A119">
        <f t="shared" si="5"/>
        <v>106</v>
      </c>
      <c r="B119" s="1">
        <f t="shared" si="6"/>
        <v>1583.4471718781185</v>
      </c>
      <c r="C119" s="1">
        <f t="shared" si="7"/>
        <v>1415.5582867790288</v>
      </c>
      <c r="D119" s="1">
        <f t="shared" si="8"/>
        <v>167.88888509908969</v>
      </c>
      <c r="E119" s="1">
        <f t="shared" si="9"/>
        <v>20969.626393099596</v>
      </c>
    </row>
    <row r="120" spans="1:5">
      <c r="A120">
        <f t="shared" si="5"/>
        <v>107</v>
      </c>
      <c r="B120" s="1">
        <f t="shared" si="6"/>
        <v>1583.4471718781185</v>
      </c>
      <c r="C120" s="1">
        <f t="shared" si="7"/>
        <v>1426.1749739298716</v>
      </c>
      <c r="D120" s="1">
        <f t="shared" si="8"/>
        <v>157.27219794824697</v>
      </c>
      <c r="E120" s="1">
        <f t="shared" si="9"/>
        <v>19543.451419169724</v>
      </c>
    </row>
    <row r="121" spans="1:5">
      <c r="A121">
        <f t="shared" si="5"/>
        <v>108</v>
      </c>
      <c r="B121" s="1">
        <f t="shared" si="6"/>
        <v>1583.4471718781185</v>
      </c>
      <c r="C121" s="1">
        <f t="shared" si="7"/>
        <v>1436.8712862343457</v>
      </c>
      <c r="D121" s="1">
        <f t="shared" si="8"/>
        <v>146.57588564377292</v>
      </c>
      <c r="E121" s="1">
        <f t="shared" si="9"/>
        <v>18106.580132935378</v>
      </c>
    </row>
    <row r="122" spans="1:5">
      <c r="A122">
        <f t="shared" si="5"/>
        <v>109</v>
      </c>
      <c r="B122" s="1">
        <f t="shared" si="6"/>
        <v>1583.4471718781185</v>
      </c>
      <c r="C122" s="1">
        <f t="shared" si="7"/>
        <v>1447.6478208811031</v>
      </c>
      <c r="D122" s="1">
        <f t="shared" si="8"/>
        <v>135.79935099701532</v>
      </c>
      <c r="E122" s="1">
        <f t="shared" si="9"/>
        <v>16658.932312054276</v>
      </c>
    </row>
    <row r="123" spans="1:5">
      <c r="A123">
        <f t="shared" si="5"/>
        <v>110</v>
      </c>
      <c r="B123" s="1">
        <f t="shared" si="6"/>
        <v>1583.4471718781185</v>
      </c>
      <c r="C123" s="1">
        <f t="shared" si="7"/>
        <v>1458.5051795377115</v>
      </c>
      <c r="D123" s="1">
        <f t="shared" si="8"/>
        <v>124.94199234040707</v>
      </c>
      <c r="E123" s="1">
        <f t="shared" si="9"/>
        <v>15200.427132516565</v>
      </c>
    </row>
    <row r="124" spans="1:5">
      <c r="A124">
        <f t="shared" si="5"/>
        <v>111</v>
      </c>
      <c r="B124" s="1">
        <f t="shared" si="6"/>
        <v>1583.4471718781185</v>
      </c>
      <c r="C124" s="1">
        <f t="shared" si="7"/>
        <v>1469.4439683842443</v>
      </c>
      <c r="D124" s="1">
        <f t="shared" si="8"/>
        <v>114.00320349387422</v>
      </c>
      <c r="E124" s="1">
        <f t="shared" si="9"/>
        <v>13730.98316413232</v>
      </c>
    </row>
    <row r="125" spans="1:5">
      <c r="A125">
        <f t="shared" si="5"/>
        <v>112</v>
      </c>
      <c r="B125" s="1">
        <f t="shared" si="6"/>
        <v>1583.4471718781185</v>
      </c>
      <c r="C125" s="1">
        <f t="shared" si="7"/>
        <v>1480.4647981471262</v>
      </c>
      <c r="D125" s="1">
        <f t="shared" si="8"/>
        <v>102.98237373099239</v>
      </c>
      <c r="E125" s="1">
        <f t="shared" si="9"/>
        <v>12250.518365985194</v>
      </c>
    </row>
    <row r="126" spans="1:5">
      <c r="A126">
        <f t="shared" si="5"/>
        <v>113</v>
      </c>
      <c r="B126" s="1">
        <f t="shared" si="6"/>
        <v>1583.4471718781185</v>
      </c>
      <c r="C126" s="1">
        <f t="shared" si="7"/>
        <v>1491.5682841332296</v>
      </c>
      <c r="D126" s="1">
        <f t="shared" si="8"/>
        <v>91.878887744888942</v>
      </c>
      <c r="E126" s="1">
        <f t="shared" si="9"/>
        <v>10758.950081851965</v>
      </c>
    </row>
    <row r="127" spans="1:5">
      <c r="A127">
        <f t="shared" si="5"/>
        <v>114</v>
      </c>
      <c r="B127" s="1">
        <f t="shared" si="6"/>
        <v>1583.4471718781185</v>
      </c>
      <c r="C127" s="1">
        <f t="shared" si="7"/>
        <v>1502.7550462642289</v>
      </c>
      <c r="D127" s="1">
        <f t="shared" si="8"/>
        <v>80.692125613889729</v>
      </c>
      <c r="E127" s="1">
        <f t="shared" si="9"/>
        <v>9256.1950355877361</v>
      </c>
    </row>
    <row r="128" spans="1:5">
      <c r="A128">
        <f t="shared" si="5"/>
        <v>115</v>
      </c>
      <c r="B128" s="1">
        <f t="shared" si="6"/>
        <v>1583.4471718781185</v>
      </c>
      <c r="C128" s="1">
        <f t="shared" si="7"/>
        <v>1514.0257091112105</v>
      </c>
      <c r="D128" s="1">
        <f t="shared" si="8"/>
        <v>69.421462766908022</v>
      </c>
      <c r="E128" s="1">
        <f t="shared" si="9"/>
        <v>7742.1693264765254</v>
      </c>
    </row>
    <row r="129" spans="1:5">
      <c r="A129">
        <f t="shared" si="5"/>
        <v>116</v>
      </c>
      <c r="B129" s="1">
        <f t="shared" si="6"/>
        <v>1583.4471718781185</v>
      </c>
      <c r="C129" s="1">
        <f t="shared" si="7"/>
        <v>1525.3809019295445</v>
      </c>
      <c r="D129" s="1">
        <f t="shared" si="8"/>
        <v>58.06626994857394</v>
      </c>
      <c r="E129" s="1">
        <f t="shared" si="9"/>
        <v>6216.7884245469813</v>
      </c>
    </row>
    <row r="130" spans="1:5">
      <c r="A130">
        <f t="shared" si="5"/>
        <v>117</v>
      </c>
      <c r="B130" s="1">
        <f t="shared" si="6"/>
        <v>1583.4471718781185</v>
      </c>
      <c r="C130" s="1">
        <f t="shared" si="7"/>
        <v>1536.8212586940163</v>
      </c>
      <c r="D130" s="1">
        <f t="shared" si="8"/>
        <v>46.625913184102359</v>
      </c>
      <c r="E130" s="1">
        <f t="shared" si="9"/>
        <v>4679.9671658529651</v>
      </c>
    </row>
    <row r="131" spans="1:5">
      <c r="A131">
        <f t="shared" si="5"/>
        <v>118</v>
      </c>
      <c r="B131" s="1">
        <f t="shared" si="6"/>
        <v>1583.4471718781185</v>
      </c>
      <c r="C131" s="1">
        <f t="shared" si="7"/>
        <v>1548.3474181342212</v>
      </c>
      <c r="D131" s="1">
        <f t="shared" si="8"/>
        <v>35.099753743897239</v>
      </c>
      <c r="E131" s="1">
        <f t="shared" si="9"/>
        <v>3131.6197477187438</v>
      </c>
    </row>
    <row r="132" spans="1:5">
      <c r="A132">
        <f t="shared" si="5"/>
        <v>119</v>
      </c>
      <c r="B132" s="1">
        <f t="shared" si="6"/>
        <v>1583.4471718781185</v>
      </c>
      <c r="C132" s="1">
        <f t="shared" si="7"/>
        <v>1559.960023770228</v>
      </c>
      <c r="D132" s="1">
        <f t="shared" si="8"/>
        <v>23.487148107890579</v>
      </c>
      <c r="E132" s="1">
        <f t="shared" si="9"/>
        <v>1571.6597239485159</v>
      </c>
    </row>
    <row r="133" spans="1:5">
      <c r="A133">
        <f t="shared" si="5"/>
        <v>120</v>
      </c>
      <c r="B133" s="1">
        <f t="shared" si="6"/>
        <v>1583.4471718781185</v>
      </c>
      <c r="C133" s="1">
        <f t="shared" si="7"/>
        <v>1571.6597239485047</v>
      </c>
      <c r="D133" s="1">
        <f t="shared" si="8"/>
        <v>11.787447929613869</v>
      </c>
      <c r="E133" s="1">
        <f t="shared" si="9"/>
        <v>1.1141310096718371E-11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topLeftCell="A2" workbookViewId="0">
      <selection activeCell="Q31" sqref="Q31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Q30" sqref="Q30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506922.72804310353</v>
      </c>
      <c r="H7" s="94">
        <f>'Profit and Loss Statement'!F21/'Profit and Loss Statement'!F8</f>
        <v>529636.40188448271</v>
      </c>
      <c r="I7" s="94">
        <f>'Profit and Loss Statement'!G21/'Profit and Loss Statement'!G8</f>
        <v>552539.06850336201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506922.72804310353</v>
      </c>
      <c r="H11" s="114">
        <f t="shared" ref="H11:K11" si="0">H7</f>
        <v>529636.40188448271</v>
      </c>
      <c r="I11" s="114">
        <f t="shared" si="0"/>
        <v>552539.06850336201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Q27" sqref="Q2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0.85925925925925928</v>
      </c>
      <c r="G9" s="104">
        <f>'Profit and Loss Statement'!F8</f>
        <v>0.85925925925925928</v>
      </c>
      <c r="H9" s="101">
        <f>'Profit and Loss Statement'!G8</f>
        <v>0.85925925925925928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0.1618153133490681</v>
      </c>
      <c r="G12" s="101">
        <f>'Profit and Loss Statement'!F28/'Profit and Loss Statement'!F6</f>
        <v>0.22011894340358842</v>
      </c>
      <c r="H12" s="101">
        <f>'Profit and Loss Statement'!G28/'Profit and Loss Statement'!G6</f>
        <v>0.25677758568154047</v>
      </c>
      <c r="I12" s="129"/>
      <c r="J12" s="129"/>
    </row>
    <row r="13" spans="5:10">
      <c r="E13" s="66" t="s">
        <v>92</v>
      </c>
      <c r="F13" s="105">
        <f>'Balance Sheet'!E10/'Balance Sheet'!E15</f>
        <v>1.4313307846824948</v>
      </c>
      <c r="G13" s="105">
        <f>'Balance Sheet'!F10/'Balance Sheet'!F15</f>
        <v>1.8838403018285543</v>
      </c>
      <c r="H13" s="105">
        <f>'Balance Sheet'!G10/'Balance Sheet'!G15</f>
        <v>2.578282676780284</v>
      </c>
      <c r="I13" s="130"/>
      <c r="J13" s="130"/>
    </row>
    <row r="14" spans="5:10">
      <c r="E14" s="66" t="s">
        <v>93</v>
      </c>
      <c r="F14" s="105">
        <f>'Balance Sheet'!E17/'Balance Sheet'!E15</f>
        <v>0.43133078468249469</v>
      </c>
      <c r="G14" s="105">
        <f>'Balance Sheet'!F17/'Balance Sheet'!F15</f>
        <v>0.88384030182855422</v>
      </c>
      <c r="H14" s="105">
        <f>'Balance Sheet'!G17/'Balance Sheet'!G15</f>
        <v>1.578282676780284</v>
      </c>
      <c r="I14" s="130"/>
      <c r="J14" s="130"/>
    </row>
    <row r="15" spans="5:10">
      <c r="E15" s="66" t="s">
        <v>94</v>
      </c>
      <c r="F15" s="105">
        <f>'Balance Sheet'!E10/'Balance Sheet'!E17</f>
        <v>3.3184062800806262</v>
      </c>
      <c r="G15" s="105">
        <f>'Balance Sheet'!F10/'Balance Sheet'!F17</f>
        <v>2.1314261161559682</v>
      </c>
      <c r="H15" s="105">
        <f>'Balance Sheet'!G10/'Balance Sheet'!G17</f>
        <v>1.6336000608205445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0.72326809963049676</v>
      </c>
      <c r="G18" s="105">
        <f>'Balance Sheet'!F7/'Balance Sheet'!F10</f>
        <v>0.78943923990683063</v>
      </c>
      <c r="H18" s="105">
        <f>'Balance Sheet'!G7/'Balance Sheet'!G10</f>
        <v>0.83292735124416073</v>
      </c>
      <c r="I18" s="130"/>
      <c r="J18" s="130"/>
    </row>
    <row r="19" spans="5:10">
      <c r="E19" s="66" t="s">
        <v>96</v>
      </c>
      <c r="F19" s="105">
        <f>'Balance Sheet'!E7/'Balance Sheet'!E15</f>
        <v>1.0352358965799358</v>
      </c>
      <c r="G19" s="105">
        <f>'Balance Sheet'!F7/'Balance Sheet'!F15</f>
        <v>1.4871774559813884</v>
      </c>
      <c r="H19" s="105">
        <f>'Balance Sheet'!G7/'Balance Sheet'!G15</f>
        <v>2.1475221607293067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35" sqref="C35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120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8"/>
      <c r="N6" s="118"/>
    </row>
    <row r="7" spans="2:14">
      <c r="B7" s="4" t="s">
        <v>131</v>
      </c>
      <c r="C7" s="14">
        <v>40000</v>
      </c>
      <c r="G7" s="4" t="str">
        <f>B6</f>
        <v>Operational Managers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18"/>
      <c r="N7" s="118"/>
    </row>
    <row r="8" spans="2:14">
      <c r="B8" s="4" t="s">
        <v>132</v>
      </c>
      <c r="C8" s="14">
        <v>37500</v>
      </c>
      <c r="G8" s="4" t="str">
        <f>B7</f>
        <v>Care Staff</v>
      </c>
      <c r="H8" s="14">
        <f t="shared" si="0"/>
        <v>120000</v>
      </c>
      <c r="I8" s="14">
        <f t="shared" si="1"/>
        <v>123600</v>
      </c>
      <c r="J8" s="14">
        <f t="shared" si="2"/>
        <v>127308</v>
      </c>
      <c r="M8" s="118"/>
      <c r="N8" s="118"/>
    </row>
    <row r="9" spans="2:14">
      <c r="B9" s="4" t="s">
        <v>129</v>
      </c>
      <c r="C9" s="14">
        <v>45000</v>
      </c>
      <c r="G9" s="4" t="str">
        <f>B8</f>
        <v>Support Staff</v>
      </c>
      <c r="H9" s="14">
        <f t="shared" si="0"/>
        <v>75000</v>
      </c>
      <c r="I9" s="14">
        <f t="shared" si="1"/>
        <v>77250</v>
      </c>
      <c r="J9" s="14">
        <f t="shared" si="2"/>
        <v>79567.5</v>
      </c>
      <c r="M9" s="118"/>
      <c r="N9" s="118"/>
    </row>
    <row r="10" spans="2:14">
      <c r="B10" s="4" t="s">
        <v>122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8"/>
      <c r="N10" s="118"/>
    </row>
    <row r="11" spans="2:14">
      <c r="B11" s="4" t="s">
        <v>136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137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138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126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335000</v>
      </c>
      <c r="I16" s="9">
        <f t="shared" ref="I16:J16" si="3">SUM(I6:I15)</f>
        <v>345050</v>
      </c>
      <c r="J16" s="9">
        <f t="shared" si="3"/>
        <v>355401.5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Care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Support Staff</v>
      </c>
      <c r="H21" s="4">
        <f t="shared" si="4"/>
        <v>2</v>
      </c>
      <c r="I21" s="4">
        <f t="shared" si="5"/>
        <v>2</v>
      </c>
      <c r="J21" s="4">
        <f t="shared" si="6"/>
        <v>2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Care Staff</v>
      </c>
      <c r="C26" s="5">
        <v>3</v>
      </c>
      <c r="D26" s="5">
        <v>3</v>
      </c>
      <c r="E26" s="5">
        <v>3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Support Staff</v>
      </c>
      <c r="C27" s="5">
        <v>2</v>
      </c>
      <c r="D27" s="5">
        <v>2</v>
      </c>
      <c r="E27" s="5">
        <v>2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8</v>
      </c>
      <c r="I28" s="10">
        <f t="shared" ref="I28:J28" si="8">SUM(I18:I27)</f>
        <v>8</v>
      </c>
      <c r="J28" s="10">
        <f t="shared" si="8"/>
        <v>8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122</v>
      </c>
      <c r="C29" s="5">
        <v>0</v>
      </c>
      <c r="D29" s="5">
        <v>0</v>
      </c>
      <c r="E29" s="5">
        <v>0</v>
      </c>
      <c r="O29" s="115"/>
      <c r="P29" s="115"/>
      <c r="Q29" s="115"/>
      <c r="R29" s="115"/>
      <c r="S29" s="115"/>
      <c r="T29" s="115"/>
    </row>
    <row r="30" spans="2:20">
      <c r="B30" s="15" t="s">
        <v>123</v>
      </c>
      <c r="C30" s="5">
        <v>0</v>
      </c>
      <c r="D30" s="5">
        <v>0</v>
      </c>
      <c r="E30" s="5">
        <v>0</v>
      </c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124</v>
      </c>
      <c r="C31" s="5">
        <v>0</v>
      </c>
      <c r="D31" s="5">
        <v>0</v>
      </c>
      <c r="E31" s="5">
        <v>0</v>
      </c>
      <c r="L31" s="112" t="str">
        <f>G6</f>
        <v>Senior Management</v>
      </c>
      <c r="M31" s="113">
        <f>J6/$J$16</f>
        <v>0.14925373134328357</v>
      </c>
      <c r="O31" s="115"/>
      <c r="P31" s="115"/>
      <c r="Q31" s="115"/>
      <c r="R31" s="115"/>
      <c r="S31" s="115"/>
      <c r="T31" s="115"/>
    </row>
    <row r="32" spans="2:20">
      <c r="B32" s="15" t="s">
        <v>125</v>
      </c>
      <c r="C32" s="5">
        <v>0</v>
      </c>
      <c r="D32" s="5">
        <v>0</v>
      </c>
      <c r="E32" s="5">
        <v>0</v>
      </c>
      <c r="F32" s="30"/>
      <c r="G32" s="30"/>
      <c r="L32" s="112" t="str">
        <f>G7</f>
        <v>Operational Managers</v>
      </c>
      <c r="M32" s="113">
        <f>J7/$J$16</f>
        <v>0.13432835820895522</v>
      </c>
      <c r="O32" s="115"/>
      <c r="P32" s="115"/>
      <c r="Q32" s="115"/>
      <c r="T32" s="115"/>
    </row>
    <row r="33" spans="2:20">
      <c r="B33" s="15" t="s">
        <v>126</v>
      </c>
      <c r="C33" s="5">
        <v>0</v>
      </c>
      <c r="D33" s="5">
        <v>0</v>
      </c>
      <c r="E33" s="5">
        <v>0</v>
      </c>
      <c r="F33" s="30"/>
      <c r="G33" s="30"/>
      <c r="L33" s="112" t="str">
        <f>G8</f>
        <v>Care Staff</v>
      </c>
      <c r="M33" s="113">
        <f>J8/$J$16</f>
        <v>0.35820895522388058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Support Staff</v>
      </c>
      <c r="M34" s="113">
        <f>J9/$J$16</f>
        <v>0.22388059701492538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0.13432835820895522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Managers</v>
      </c>
      <c r="C59" s="14">
        <f t="shared" si="9"/>
        <v>45000</v>
      </c>
      <c r="D59" s="14">
        <f t="shared" ref="D59:G59" si="10">C59*(1+$C$53)</f>
        <v>46350</v>
      </c>
      <c r="E59" s="14">
        <f t="shared" si="10"/>
        <v>47740.5</v>
      </c>
      <c r="F59" s="14">
        <f t="shared" si="10"/>
        <v>49172.715000000004</v>
      </c>
      <c r="G59" s="14">
        <f t="shared" si="10"/>
        <v>50647.896450000007</v>
      </c>
    </row>
    <row r="60" spans="2:7">
      <c r="B60" s="4" t="str">
        <f t="shared" si="9"/>
        <v>Care Staff</v>
      </c>
      <c r="C60" s="14">
        <f t="shared" si="9"/>
        <v>40000</v>
      </c>
      <c r="D60" s="14">
        <f t="shared" ref="D60:G60" si="11">C60*(1+$C$53)</f>
        <v>41200</v>
      </c>
      <c r="E60" s="14">
        <f t="shared" si="11"/>
        <v>42436</v>
      </c>
      <c r="F60" s="14">
        <f t="shared" si="11"/>
        <v>43709.08</v>
      </c>
      <c r="G60" s="14">
        <f t="shared" si="11"/>
        <v>45020.352400000003</v>
      </c>
    </row>
    <row r="61" spans="2:7">
      <c r="B61" s="4" t="str">
        <f t="shared" si="9"/>
        <v>Support Staff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E36" sqref="E36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Care Services</v>
      </c>
      <c r="F6" s="94">
        <f>SUM(Inputs!C32:N32)</f>
        <v>541320</v>
      </c>
      <c r="G6" s="94">
        <f t="shared" ref="G6:H15" si="0">F6*(1+G$5)</f>
        <v>649584</v>
      </c>
      <c r="H6" s="94">
        <f t="shared" si="0"/>
        <v>747021.6</v>
      </c>
      <c r="I6" s="128"/>
      <c r="J6" s="94" t="str">
        <f>E6</f>
        <v>Care Services</v>
      </c>
      <c r="K6" s="144">
        <f>F6/$F$16</f>
        <v>0.7407407407407407</v>
      </c>
      <c r="L6" s="144">
        <f>G6/$G$16</f>
        <v>0.74074074074074081</v>
      </c>
      <c r="M6" s="144">
        <f>H6/$H$16</f>
        <v>0.74074074074074081</v>
      </c>
    </row>
    <row r="7" spans="5:13">
      <c r="E7" s="94" t="str">
        <f>Inputs!B6</f>
        <v>Meal Services</v>
      </c>
      <c r="F7" s="94">
        <f>SUM(Inputs!C33:N33)</f>
        <v>189461.99999999997</v>
      </c>
      <c r="G7" s="94">
        <f t="shared" si="0"/>
        <v>227354.39999999997</v>
      </c>
      <c r="H7" s="94">
        <f t="shared" si="0"/>
        <v>261457.55999999994</v>
      </c>
      <c r="I7" s="128"/>
      <c r="J7" s="94" t="str">
        <f t="shared" ref="J7:J15" si="1">E7</f>
        <v>Meal Services</v>
      </c>
      <c r="K7" s="144">
        <f t="shared" ref="K7:K15" si="2">F7/$F$16</f>
        <v>0.25925925925925924</v>
      </c>
      <c r="L7" s="144">
        <f t="shared" ref="L7:L15" si="3">G7/$G$16</f>
        <v>0.25925925925925924</v>
      </c>
      <c r="M7" s="144">
        <f t="shared" ref="M7:M15" si="4">H7/$H$16</f>
        <v>0.25925925925925924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730782</v>
      </c>
      <c r="G16" s="99">
        <f>SUM(G6:G15)</f>
        <v>876938.39999999991</v>
      </c>
      <c r="H16" s="99">
        <f>SUM(H6:H15)</f>
        <v>1008479.1599999999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Care Services</v>
      </c>
      <c r="F21" s="94">
        <f>SUM(Inputs!C51:N51)</f>
        <v>27066</v>
      </c>
      <c r="G21" s="94">
        <f t="shared" ref="G21:H30" si="5">F21*(1+G$20)</f>
        <v>32479.199999999997</v>
      </c>
      <c r="H21" s="94">
        <f t="shared" si="5"/>
        <v>37351.079999999994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Meal Services</v>
      </c>
      <c r="F22" s="94">
        <f>SUM(Inputs!C52:N52)</f>
        <v>75784.800000000003</v>
      </c>
      <c r="G22" s="94">
        <f t="shared" si="5"/>
        <v>90941.759999999995</v>
      </c>
      <c r="H22" s="94">
        <f t="shared" si="5"/>
        <v>104583.02399999999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102850.8</v>
      </c>
      <c r="G31" s="100">
        <f>SUM(G21:G30)</f>
        <v>123420.95999999999</v>
      </c>
      <c r="H31" s="100">
        <f>SUM(H21:H30)</f>
        <v>141934.10399999999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F37" sqref="F37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134</v>
      </c>
      <c r="E6" s="6">
        <v>60000</v>
      </c>
    </row>
    <row r="7" spans="4:5">
      <c r="D7" s="21" t="s">
        <v>117</v>
      </c>
      <c r="E7" s="6">
        <v>25000</v>
      </c>
    </row>
    <row r="8" spans="4:5">
      <c r="D8" s="21" t="s">
        <v>116</v>
      </c>
      <c r="E8" s="6">
        <v>15000</v>
      </c>
    </row>
    <row r="9" spans="4:5">
      <c r="D9" s="21" t="s">
        <v>0</v>
      </c>
      <c r="E9" s="6">
        <v>50000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150000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</v>
      </c>
    </row>
    <row r="22" spans="4:5">
      <c r="D22" s="4" t="s">
        <v>99</v>
      </c>
      <c r="E22" s="14">
        <v>125000</v>
      </c>
    </row>
    <row r="23" spans="4:5">
      <c r="D23" s="4" t="s">
        <v>100</v>
      </c>
      <c r="E23" s="14">
        <f>SUM(E21:E22)</f>
        <v>150000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I35" sqref="I35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730782</v>
      </c>
      <c r="F6" s="69">
        <f>'Revenue Overview'!G16</f>
        <v>876938.39999999991</v>
      </c>
      <c r="G6" s="81">
        <f>'Revenue Overview'!H16</f>
        <v>1008479.1599999999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102850.8</v>
      </c>
      <c r="F7" s="71">
        <f>'Revenue Overview'!G31</f>
        <v>123420.95999999999</v>
      </c>
      <c r="G7" s="80">
        <f>'Revenue Overview'!H31</f>
        <v>141934.10399999999</v>
      </c>
      <c r="H7" s="137"/>
      <c r="I7" s="137"/>
      <c r="J7" s="115"/>
      <c r="K7" s="112" t="s">
        <v>51</v>
      </c>
      <c r="L7" s="114">
        <f>E6</f>
        <v>730782</v>
      </c>
      <c r="M7" s="114">
        <f>F6</f>
        <v>876938.39999999991</v>
      </c>
      <c r="N7" s="114">
        <f>G6</f>
        <v>1008479.1599999999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0.85925925925925928</v>
      </c>
      <c r="F8" s="73">
        <f t="shared" ref="F8:G8" si="0">1-(F7/F6)</f>
        <v>0.85925925925925928</v>
      </c>
      <c r="G8" s="134">
        <f t="shared" si="0"/>
        <v>0.85925925925925928</v>
      </c>
      <c r="H8" s="139"/>
      <c r="I8" s="139"/>
      <c r="J8" s="115"/>
      <c r="K8" s="112" t="s">
        <v>76</v>
      </c>
      <c r="L8" s="114">
        <f>E6</f>
        <v>730782</v>
      </c>
      <c r="M8" s="114">
        <f>F6</f>
        <v>876938.39999999991</v>
      </c>
      <c r="N8" s="114">
        <f>G6</f>
        <v>1008479.1599999999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627931.19999999995</v>
      </c>
      <c r="F10" s="76">
        <f t="shared" ref="F10:G10" si="1">F6-F7</f>
        <v>753517.44</v>
      </c>
      <c r="G10" s="84">
        <f t="shared" si="1"/>
        <v>866545.05599999987</v>
      </c>
      <c r="H10" s="136"/>
      <c r="I10" s="136"/>
      <c r="J10" s="115"/>
      <c r="K10" s="112" t="s">
        <v>47</v>
      </c>
      <c r="L10" s="114">
        <f>E23</f>
        <v>192353.15219999989</v>
      </c>
      <c r="M10" s="114">
        <f>F23</f>
        <v>298422.45763999998</v>
      </c>
      <c r="N10" s="114">
        <f>G23</f>
        <v>391770.7452859999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192353.15219999989</v>
      </c>
      <c r="M11" s="114">
        <f t="shared" ref="M11:N11" si="2">M10</f>
        <v>298422.45763999998</v>
      </c>
      <c r="N11" s="114">
        <f t="shared" si="2"/>
        <v>391770.7452859999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335000</v>
      </c>
      <c r="F13" s="78">
        <f>'Personnel - Editable'!I16</f>
        <v>345050</v>
      </c>
      <c r="G13" s="78">
        <f>'Personnel - Editable'!J16</f>
        <v>355401.5</v>
      </c>
      <c r="H13" s="137"/>
      <c r="I13" s="137"/>
      <c r="J13" s="115"/>
      <c r="K13" s="112" t="s">
        <v>75</v>
      </c>
      <c r="L13" s="114">
        <f>E21</f>
        <v>435578.04780000006</v>
      </c>
      <c r="M13" s="114">
        <f>F21</f>
        <v>455094.98235999997</v>
      </c>
      <c r="N13" s="114">
        <f>G21</f>
        <v>474774.31071399996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20000</v>
      </c>
      <c r="F14" s="80">
        <f>Inputs!D18</f>
        <v>20600</v>
      </c>
      <c r="G14" s="80">
        <f>Inputs!E18</f>
        <v>21218</v>
      </c>
      <c r="H14" s="137"/>
      <c r="I14" s="137"/>
      <c r="J14" s="115"/>
      <c r="K14" s="112" t="s">
        <v>78</v>
      </c>
      <c r="L14" s="114">
        <f>E21</f>
        <v>435578.04780000006</v>
      </c>
      <c r="M14" s="114">
        <f>F21</f>
        <v>455094.98235999997</v>
      </c>
      <c r="N14" s="114">
        <f>G21</f>
        <v>474774.31071399996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11473.277399999999</v>
      </c>
      <c r="F15" s="78">
        <f>Inputs!D19</f>
        <v>13767.932879999997</v>
      </c>
      <c r="G15" s="78">
        <f>Inputs!E19</f>
        <v>15833.122811999998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11107.886399999999</v>
      </c>
      <c r="F16" s="80">
        <f>Inputs!D20</f>
        <v>13329.463679999999</v>
      </c>
      <c r="G16" s="80">
        <f>Inputs!E20</f>
        <v>15328.883231999998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20100</v>
      </c>
      <c r="F17" s="78">
        <f>Inputs!D21</f>
        <v>20703</v>
      </c>
      <c r="G17" s="78">
        <f>Inputs!E21</f>
        <v>21324.09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8769.384</v>
      </c>
      <c r="F18" s="80">
        <f>Inputs!D22</f>
        <v>10523.260799999998</v>
      </c>
      <c r="G18" s="80">
        <f>Inputs!E22</f>
        <v>12101.749919999998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3500</v>
      </c>
      <c r="F19" s="78">
        <f>Inputs!D23</f>
        <v>4725</v>
      </c>
      <c r="G19" s="78">
        <f>Inputs!E23</f>
        <v>6378.75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25627.5</v>
      </c>
      <c r="F20" s="80">
        <f>F13*'Tax Assumptions '!G9</f>
        <v>26396.325000000001</v>
      </c>
      <c r="G20" s="80">
        <f>G13*'Tax Assumptions '!H9</f>
        <v>27188.214749999999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435578.04780000006</v>
      </c>
      <c r="F21" s="81">
        <f t="shared" ref="F21:G21" si="3">SUM(F13:F20)</f>
        <v>455094.98235999997</v>
      </c>
      <c r="G21" s="81">
        <f t="shared" si="3"/>
        <v>474774.31071399996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192353.15219999989</v>
      </c>
      <c r="F23" s="83">
        <f t="shared" ref="F23:G23" si="4">F10-F21</f>
        <v>298422.45763999998</v>
      </c>
      <c r="G23" s="83">
        <f t="shared" si="4"/>
        <v>391770.7452859999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42232.756542806674</v>
      </c>
      <c r="F24" s="78">
        <f>(F23-F26-F27)*'Tax Assumptions '!G7</f>
        <v>68939.555013583347</v>
      </c>
      <c r="G24" s="78">
        <f>(G23-G26-G27)*'Tax Assumptions '!H7</f>
        <v>92483.872826767125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8446.5513085613347</v>
      </c>
      <c r="F25" s="80">
        <f>(F23-F26-F27)*'Tax Assumptions '!G8</f>
        <v>13787.91100271667</v>
      </c>
      <c r="G25" s="80">
        <f>(G23-G26-G27)*'Tax Assumptions '!H8</f>
        <v>18496.774565353426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10922.126028773213</v>
      </c>
      <c r="F26" s="78">
        <f>SUM('Loan Amortization Table'!D26:D37)</f>
        <v>10164.237585666584</v>
      </c>
      <c r="G26" s="78">
        <f>SUM('Loan Amortization Table'!D38:D49)</f>
        <v>9335.2539789314305</v>
      </c>
      <c r="H26" s="128"/>
      <c r="I26" s="128"/>
    </row>
    <row r="27" spans="4:21">
      <c r="D27" s="70" t="s">
        <v>54</v>
      </c>
      <c r="E27" s="80">
        <v>12500</v>
      </c>
      <c r="F27" s="80">
        <v>12500</v>
      </c>
      <c r="G27" s="80">
        <v>12500</v>
      </c>
      <c r="H27" s="128"/>
      <c r="I27" s="128"/>
    </row>
    <row r="28" spans="4:21">
      <c r="D28" s="82" t="s">
        <v>17</v>
      </c>
      <c r="E28" s="83">
        <f>E23-SUM(E24:E27)</f>
        <v>118251.71831985867</v>
      </c>
      <c r="F28" s="83">
        <f t="shared" ref="F28:G28" si="5">F23-SUM(F24:F27)</f>
        <v>193030.75403803337</v>
      </c>
      <c r="G28" s="83">
        <f t="shared" si="5"/>
        <v>258954.84391494794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730782</v>
      </c>
      <c r="F32" s="69">
        <f t="shared" ref="F32:G32" si="6">F6</f>
        <v>876938.39999999991</v>
      </c>
      <c r="G32" s="81">
        <f t="shared" si="6"/>
        <v>1008479.1599999999</v>
      </c>
      <c r="H32" s="132"/>
      <c r="I32" s="132"/>
    </row>
    <row r="33" spans="4:13">
      <c r="D33" s="70" t="s">
        <v>52</v>
      </c>
      <c r="E33" s="71">
        <f>E7</f>
        <v>102850.8</v>
      </c>
      <c r="F33" s="71">
        <f t="shared" ref="F33:G33" si="7">F7</f>
        <v>123420.95999999999</v>
      </c>
      <c r="G33" s="80">
        <f t="shared" si="7"/>
        <v>141934.10399999999</v>
      </c>
      <c r="H33" s="128"/>
      <c r="I33" s="128"/>
    </row>
    <row r="34" spans="4:13">
      <c r="D34" s="68" t="s">
        <v>10</v>
      </c>
      <c r="E34" s="69">
        <f>E10</f>
        <v>627931.19999999995</v>
      </c>
      <c r="F34" s="69">
        <f t="shared" ref="F34:G34" si="8">F10</f>
        <v>753517.44</v>
      </c>
      <c r="G34" s="81">
        <f t="shared" si="8"/>
        <v>866545.05599999987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435578.04780000006</v>
      </c>
      <c r="F35" s="84">
        <f t="shared" ref="F35:G35" si="9">F21</f>
        <v>455094.98235999997</v>
      </c>
      <c r="G35" s="84">
        <f t="shared" si="9"/>
        <v>474774.31071399996</v>
      </c>
      <c r="H35" s="132"/>
      <c r="I35" s="132"/>
    </row>
    <row r="36" spans="4:13">
      <c r="D36" s="82" t="s">
        <v>47</v>
      </c>
      <c r="E36" s="83">
        <f>E23</f>
        <v>192353.15219999989</v>
      </c>
      <c r="F36" s="83">
        <f t="shared" ref="F36:G36" si="10">F23</f>
        <v>298422.45763999998</v>
      </c>
      <c r="G36" s="83">
        <f t="shared" si="10"/>
        <v>391770.7452859999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K35" sqref="K35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130751.71831985867</v>
      </c>
      <c r="F6" s="81">
        <f>'Profit and Loss Statement'!F28+'Profit and Loss Statement'!F27</f>
        <v>205530.75403803337</v>
      </c>
      <c r="G6" s="81">
        <f>'Profit and Loss Statement'!G28+'Profit and Loss Statement'!G27</f>
        <v>271454.84391494794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125000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8"/>
      <c r="I11" s="128"/>
    </row>
    <row r="12" spans="4:9">
      <c r="D12" s="75" t="s">
        <v>23</v>
      </c>
      <c r="E12" s="89">
        <f>SUM(E9:E11)</f>
        <v>160000</v>
      </c>
      <c r="F12" s="89">
        <f t="shared" ref="F12:G12" si="0">SUM(F9:F11)</f>
        <v>10200</v>
      </c>
      <c r="G12" s="89">
        <f t="shared" si="0"/>
        <v>10404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290751.71831985866</v>
      </c>
      <c r="F15" s="90">
        <f t="shared" ref="F15:G15" si="1">F12+F6</f>
        <v>215730.75403803337</v>
      </c>
      <c r="G15" s="90">
        <f t="shared" si="1"/>
        <v>281858.84391494794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8079.2400337642102</v>
      </c>
      <c r="F18" s="80">
        <f>SUM('Loan Amortization Table'!C26:C37)</f>
        <v>8837.1284768708392</v>
      </c>
      <c r="G18" s="80">
        <f>SUM('Loan Amortization Table'!C38:C49)</f>
        <v>9666.1120836059927</v>
      </c>
      <c r="H18" s="128"/>
      <c r="I18" s="128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8"/>
      <c r="I19" s="128"/>
    </row>
    <row r="20" spans="4:9">
      <c r="D20" s="70" t="s">
        <v>33</v>
      </c>
      <c r="E20" s="80">
        <f>'Use of Funds'!$E$6</f>
        <v>60000</v>
      </c>
      <c r="F20" s="80">
        <f>F6*0.05</f>
        <v>10276.537701901669</v>
      </c>
      <c r="G20" s="80">
        <f>G6*0.05</f>
        <v>13572.742195747398</v>
      </c>
      <c r="H20" s="128"/>
      <c r="I20" s="128"/>
    </row>
    <row r="21" spans="4:9">
      <c r="D21" s="72" t="s">
        <v>32</v>
      </c>
      <c r="E21" s="78">
        <f>E6*0.7</f>
        <v>91526.202823901069</v>
      </c>
      <c r="F21" s="78">
        <f t="shared" ref="F21:G21" si="3">F6*0.7</f>
        <v>143871.52782662335</v>
      </c>
      <c r="G21" s="78">
        <f t="shared" si="3"/>
        <v>190018.39074046354</v>
      </c>
      <c r="H21" s="128"/>
      <c r="I21" s="128"/>
    </row>
    <row r="22" spans="4:9">
      <c r="D22" s="75" t="s">
        <v>26</v>
      </c>
      <c r="E22" s="84">
        <f>SUM(E18:E21)</f>
        <v>166605.4428576653</v>
      </c>
      <c r="F22" s="84">
        <f t="shared" ref="F22:G22" si="4">SUM(F18:F21)</f>
        <v>170125.19400539587</v>
      </c>
      <c r="G22" s="84">
        <f t="shared" si="4"/>
        <v>220540.04501981693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124146.27546219336</v>
      </c>
      <c r="F24" s="91">
        <f t="shared" ref="F24:G24" si="5">F15-F22</f>
        <v>45605.560032637499</v>
      </c>
      <c r="G24" s="91">
        <f t="shared" si="5"/>
        <v>61318.798895131011</v>
      </c>
      <c r="H24" s="133"/>
      <c r="I24" s="133"/>
    </row>
    <row r="25" spans="4:9">
      <c r="D25" s="82" t="s">
        <v>6</v>
      </c>
      <c r="E25" s="91">
        <f>E24</f>
        <v>124146.27546219336</v>
      </c>
      <c r="F25" s="91">
        <f>E25+F24</f>
        <v>169751.83549483086</v>
      </c>
      <c r="G25" s="91">
        <f>F25+G24</f>
        <v>231070.63438996187</v>
      </c>
      <c r="H25" s="133"/>
      <c r="I25" s="133"/>
    </row>
    <row r="28" spans="4:9">
      <c r="D28" s="112" t="s">
        <v>79</v>
      </c>
      <c r="E28" s="114">
        <f>E6</f>
        <v>130751.71831985867</v>
      </c>
      <c r="F28" s="114">
        <f t="shared" ref="F28:G28" si="6">F6</f>
        <v>205530.75403803337</v>
      </c>
      <c r="G28" s="114">
        <f t="shared" si="6"/>
        <v>271454.84391494794</v>
      </c>
      <c r="H28" s="1"/>
      <c r="I28" s="1"/>
    </row>
    <row r="29" spans="4:9">
      <c r="D29" s="112" t="s">
        <v>80</v>
      </c>
      <c r="E29" s="114">
        <f>E18</f>
        <v>8079.2400337642102</v>
      </c>
      <c r="F29" s="114">
        <f t="shared" ref="F29:G29" si="7">F18</f>
        <v>8837.1284768708392</v>
      </c>
      <c r="G29" s="114">
        <f t="shared" si="7"/>
        <v>9666.1120836059927</v>
      </c>
      <c r="H29" s="1"/>
      <c r="I29" s="1"/>
    </row>
    <row r="30" spans="4:9">
      <c r="D30" s="112" t="s">
        <v>81</v>
      </c>
      <c r="E30" s="114">
        <f>E21</f>
        <v>91526.202823901069</v>
      </c>
      <c r="F30" s="114">
        <f t="shared" ref="F30:G30" si="8">F21</f>
        <v>143871.52782662335</v>
      </c>
      <c r="G30" s="114">
        <f t="shared" si="8"/>
        <v>190018.39074046354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L35" sqref="L35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124146.27546219336</v>
      </c>
      <c r="F7" s="78">
        <f>'Cash Flow Analysis'!F25</f>
        <v>169751.83549483086</v>
      </c>
      <c r="G7" s="78">
        <f>'Cash Flow Analysis'!G25</f>
        <v>231070.63438996187</v>
      </c>
      <c r="H7" s="128"/>
      <c r="I7" s="128"/>
    </row>
    <row r="8" spans="4:9">
      <c r="D8" s="66" t="s">
        <v>127</v>
      </c>
      <c r="E8" s="94">
        <f>'Cash Flow Analysis'!E20</f>
        <v>60000</v>
      </c>
      <c r="F8" s="94">
        <f>E8+'Cash Flow Analysis'!F20</f>
        <v>70276.537701901674</v>
      </c>
      <c r="G8" s="94">
        <f>F8+'Cash Flow Analysis'!G20</f>
        <v>83849.279897649074</v>
      </c>
      <c r="H8" s="128"/>
      <c r="I8" s="128"/>
    </row>
    <row r="9" spans="4:9">
      <c r="D9" s="72" t="s">
        <v>48</v>
      </c>
      <c r="E9" s="87">
        <f>-'Profit and Loss Statement'!E27</f>
        <v>-12500</v>
      </c>
      <c r="F9" s="87">
        <f>E9-'Profit and Loss Statement'!F27</f>
        <v>-25000</v>
      </c>
      <c r="G9" s="87">
        <f>F9-'Profit and Loss Statement'!G27</f>
        <v>-37500</v>
      </c>
      <c r="H9" s="131"/>
      <c r="I9" s="131"/>
    </row>
    <row r="10" spans="4:9">
      <c r="D10" s="95" t="s">
        <v>7</v>
      </c>
      <c r="E10" s="96">
        <f>SUM(E7:E9)</f>
        <v>171646.27546219336</v>
      </c>
      <c r="F10" s="96">
        <f t="shared" ref="F10:G10" si="0">SUM(F7:F9)</f>
        <v>215028.37319673254</v>
      </c>
      <c r="G10" s="96">
        <f t="shared" si="0"/>
        <v>277419.91428761091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8"/>
      <c r="I13" s="128"/>
    </row>
    <row r="14" spans="4:9">
      <c r="D14" s="66" t="s">
        <v>73</v>
      </c>
      <c r="E14" s="94">
        <f>'Loan Amortization Table'!E25</f>
        <v>116920.75996623578</v>
      </c>
      <c r="F14" s="94">
        <f>'Loan Amortization Table'!E37</f>
        <v>108083.63148936495</v>
      </c>
      <c r="G14" s="94">
        <f>'Loan Amortization Table'!E49</f>
        <v>98417.519405758969</v>
      </c>
      <c r="H14" s="128"/>
      <c r="I14" s="128"/>
    </row>
    <row r="15" spans="4:9">
      <c r="D15" s="68" t="s">
        <v>30</v>
      </c>
      <c r="E15" s="81">
        <f>SUM(E13:E14)</f>
        <v>119920.75996623578</v>
      </c>
      <c r="F15" s="81">
        <f t="shared" ref="F15:G15" si="1">SUM(F13:F14)</f>
        <v>114143.63148936495</v>
      </c>
      <c r="G15" s="81">
        <f t="shared" si="1"/>
        <v>107598.71940575897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51725.515495957574</v>
      </c>
      <c r="F17" s="83">
        <f t="shared" ref="F17:G17" si="2">F10-F15</f>
        <v>100884.74170736759</v>
      </c>
      <c r="G17" s="83">
        <f t="shared" si="2"/>
        <v>169821.19488185196</v>
      </c>
      <c r="H17" s="132"/>
      <c r="I17" s="132"/>
    </row>
    <row r="18" spans="4:9">
      <c r="D18" s="82" t="s">
        <v>31</v>
      </c>
      <c r="E18" s="83">
        <f>E15+E17</f>
        <v>171646.27546219336</v>
      </c>
      <c r="F18" s="83">
        <f t="shared" ref="F18:G18" si="3">F15+F17</f>
        <v>215028.37319673254</v>
      </c>
      <c r="G18" s="83">
        <f t="shared" si="3"/>
        <v>277419.91428761091</v>
      </c>
      <c r="H18" s="132"/>
      <c r="I18" s="132"/>
    </row>
    <row r="21" spans="4:9">
      <c r="D21" s="112" t="s">
        <v>82</v>
      </c>
      <c r="E21" s="114">
        <f>E10-1</f>
        <v>171645.27546219336</v>
      </c>
      <c r="F21" s="114">
        <f t="shared" ref="F21:G21" si="4">F10-1</f>
        <v>215027.37319673254</v>
      </c>
      <c r="G21" s="114">
        <f t="shared" si="4"/>
        <v>277418.91428761091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119920.75996623578</v>
      </c>
      <c r="F22" s="114">
        <f t="shared" ref="F22:G22" si="6">F15</f>
        <v>114143.63148936495</v>
      </c>
      <c r="G22" s="114">
        <f t="shared" si="6"/>
        <v>107598.71940575897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51725.515495957574</v>
      </c>
      <c r="F23" s="114">
        <f t="shared" ref="F23:G23" si="8">F17</f>
        <v>100884.74170736759</v>
      </c>
      <c r="G23" s="114">
        <f t="shared" si="8"/>
        <v>169821.19488185196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M33" sqref="M33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60750</v>
      </c>
      <c r="D6" s="6">
        <f>Inputs!D42</f>
        <v>60777</v>
      </c>
      <c r="E6" s="6">
        <f>Inputs!E42</f>
        <v>60804</v>
      </c>
      <c r="F6" s="6">
        <f>Inputs!F42</f>
        <v>60831</v>
      </c>
      <c r="G6" s="6">
        <f>Inputs!G42</f>
        <v>60858</v>
      </c>
      <c r="H6" s="6">
        <f>Inputs!H42</f>
        <v>60885</v>
      </c>
      <c r="I6" s="6">
        <f>Inputs!I42</f>
        <v>60912</v>
      </c>
    </row>
    <row r="7" spans="2:9">
      <c r="B7" s="31" t="s">
        <v>52</v>
      </c>
      <c r="C7" s="6">
        <f>Inputs!C61</f>
        <v>8550</v>
      </c>
      <c r="D7" s="6">
        <f>Inputs!D61</f>
        <v>8553.7999999999993</v>
      </c>
      <c r="E7" s="6">
        <f>Inputs!E61</f>
        <v>8557.5999999999985</v>
      </c>
      <c r="F7" s="6">
        <f>Inputs!F61</f>
        <v>8561.4</v>
      </c>
      <c r="G7" s="6">
        <f>Inputs!G61</f>
        <v>8565.2000000000007</v>
      </c>
      <c r="H7" s="6">
        <f>Inputs!H61</f>
        <v>8569</v>
      </c>
      <c r="I7" s="6">
        <f>Inputs!I61</f>
        <v>8572.7999999999993</v>
      </c>
    </row>
    <row r="8" spans="2:9">
      <c r="B8" s="29" t="s">
        <v>12</v>
      </c>
      <c r="C8" s="17">
        <f>1-(C7/C6)</f>
        <v>0.85925925925925928</v>
      </c>
      <c r="D8" s="17">
        <f t="shared" ref="D8:I8" si="1">1-(D7/D6)</f>
        <v>0.85925925925925928</v>
      </c>
      <c r="E8" s="17">
        <f t="shared" si="1"/>
        <v>0.85925925925925928</v>
      </c>
      <c r="F8" s="17">
        <f t="shared" si="1"/>
        <v>0.85925925925925928</v>
      </c>
      <c r="G8" s="17">
        <f t="shared" si="1"/>
        <v>0.85925925925925928</v>
      </c>
      <c r="H8" s="17">
        <f t="shared" si="1"/>
        <v>0.85925925925925928</v>
      </c>
      <c r="I8" s="17">
        <f t="shared" si="1"/>
        <v>0.85925925925925928</v>
      </c>
    </row>
    <row r="9" spans="2:9">
      <c r="B9" s="30"/>
    </row>
    <row r="10" spans="2:9">
      <c r="B10" s="37" t="s">
        <v>10</v>
      </c>
      <c r="C10" s="6">
        <f>C6-C7</f>
        <v>52200</v>
      </c>
      <c r="D10" s="6">
        <f t="shared" ref="D10:I10" si="2">D6-D7</f>
        <v>52223.199999999997</v>
      </c>
      <c r="E10" s="6">
        <f t="shared" si="2"/>
        <v>52246.400000000001</v>
      </c>
      <c r="F10" s="6">
        <f t="shared" si="2"/>
        <v>52269.599999999999</v>
      </c>
      <c r="G10" s="6">
        <f t="shared" si="2"/>
        <v>52292.800000000003</v>
      </c>
      <c r="H10" s="6">
        <f t="shared" si="2"/>
        <v>52316</v>
      </c>
      <c r="I10" s="6">
        <f t="shared" si="2"/>
        <v>52339.199999999997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27916.666666666668</v>
      </c>
      <c r="D13" s="6">
        <f t="shared" ref="D13:I13" si="3">$H$41/12</f>
        <v>27916.666666666668</v>
      </c>
      <c r="E13" s="6">
        <f t="shared" si="3"/>
        <v>27916.666666666668</v>
      </c>
      <c r="F13" s="6">
        <f t="shared" si="3"/>
        <v>27916.666666666668</v>
      </c>
      <c r="G13" s="6">
        <f t="shared" si="3"/>
        <v>27916.666666666668</v>
      </c>
      <c r="H13" s="6">
        <f t="shared" si="3"/>
        <v>27916.666666666668</v>
      </c>
      <c r="I13" s="6">
        <f t="shared" si="3"/>
        <v>27916.666666666668</v>
      </c>
    </row>
    <row r="14" spans="2:9">
      <c r="B14" s="33" t="str">
        <f>'Profit and Loss Statement'!D14</f>
        <v>Facility Costs</v>
      </c>
      <c r="C14" s="6">
        <f>$H$42/12</f>
        <v>1666.6666666666667</v>
      </c>
      <c r="D14" s="6">
        <f t="shared" ref="D14:I14" si="4">$H$42/12</f>
        <v>1666.6666666666667</v>
      </c>
      <c r="E14" s="6">
        <f t="shared" si="4"/>
        <v>1666.6666666666667</v>
      </c>
      <c r="F14" s="6">
        <f t="shared" si="4"/>
        <v>1666.6666666666667</v>
      </c>
      <c r="G14" s="6">
        <f t="shared" si="4"/>
        <v>1666.6666666666667</v>
      </c>
      <c r="H14" s="6">
        <f t="shared" si="4"/>
        <v>1666.6666666666667</v>
      </c>
      <c r="I14" s="6">
        <f t="shared" si="4"/>
        <v>1666.6666666666667</v>
      </c>
    </row>
    <row r="15" spans="2:9">
      <c r="B15" s="33" t="str">
        <f>'Profit and Loss Statement'!D15</f>
        <v>General and Administrative</v>
      </c>
      <c r="C15" s="6">
        <f>$H$43/12</f>
        <v>956.10644999999988</v>
      </c>
      <c r="D15" s="6">
        <f t="shared" ref="D15:I15" si="5">$H$43/12</f>
        <v>956.10644999999988</v>
      </c>
      <c r="E15" s="6">
        <f t="shared" si="5"/>
        <v>956.10644999999988</v>
      </c>
      <c r="F15" s="6">
        <f t="shared" si="5"/>
        <v>956.10644999999988</v>
      </c>
      <c r="G15" s="6">
        <f t="shared" si="5"/>
        <v>956.10644999999988</v>
      </c>
      <c r="H15" s="6">
        <f t="shared" si="5"/>
        <v>956.10644999999988</v>
      </c>
      <c r="I15" s="6">
        <f t="shared" si="5"/>
        <v>956.10644999999988</v>
      </c>
    </row>
    <row r="16" spans="2:9">
      <c r="B16" s="33" t="str">
        <f>'Profit and Loss Statement'!D16</f>
        <v>Equipment Costs</v>
      </c>
      <c r="C16" s="6">
        <f>$H$44/12</f>
        <v>925.65719999999999</v>
      </c>
      <c r="D16" s="6">
        <f t="shared" ref="D16:I16" si="6">$H$44/12</f>
        <v>925.65719999999999</v>
      </c>
      <c r="E16" s="6">
        <f t="shared" si="6"/>
        <v>925.65719999999999</v>
      </c>
      <c r="F16" s="6">
        <f t="shared" si="6"/>
        <v>925.65719999999999</v>
      </c>
      <c r="G16" s="6">
        <f t="shared" si="6"/>
        <v>925.65719999999999</v>
      </c>
      <c r="H16" s="6">
        <f t="shared" si="6"/>
        <v>925.65719999999999</v>
      </c>
      <c r="I16" s="6">
        <f t="shared" si="6"/>
        <v>925.65719999999999</v>
      </c>
    </row>
    <row r="17" spans="2:9">
      <c r="B17" s="33" t="str">
        <f>'Profit and Loss Statement'!D17</f>
        <v>Insurance Costs</v>
      </c>
      <c r="C17" s="6">
        <f>$H$45/12</f>
        <v>1675</v>
      </c>
      <c r="D17" s="6">
        <f t="shared" ref="D17:I17" si="7">$H$45/12</f>
        <v>1675</v>
      </c>
      <c r="E17" s="6">
        <f t="shared" si="7"/>
        <v>1675</v>
      </c>
      <c r="F17" s="6">
        <f t="shared" si="7"/>
        <v>1675</v>
      </c>
      <c r="G17" s="6">
        <f t="shared" si="7"/>
        <v>1675</v>
      </c>
      <c r="H17" s="6">
        <f t="shared" si="7"/>
        <v>1675</v>
      </c>
      <c r="I17" s="6">
        <f t="shared" si="7"/>
        <v>1675</v>
      </c>
    </row>
    <row r="18" spans="2:9">
      <c r="B18" s="33" t="str">
        <f>'Profit and Loss Statement'!D18</f>
        <v>Marketing</v>
      </c>
      <c r="C18" s="6">
        <f>$H$46/12</f>
        <v>730.78200000000004</v>
      </c>
      <c r="D18" s="6">
        <f t="shared" ref="D18:I18" si="8">$H$46/12</f>
        <v>730.78200000000004</v>
      </c>
      <c r="E18" s="6">
        <f t="shared" si="8"/>
        <v>730.78200000000004</v>
      </c>
      <c r="F18" s="6">
        <f t="shared" si="8"/>
        <v>730.78200000000004</v>
      </c>
      <c r="G18" s="6">
        <f t="shared" si="8"/>
        <v>730.78200000000004</v>
      </c>
      <c r="H18" s="6">
        <f t="shared" si="8"/>
        <v>730.78200000000004</v>
      </c>
      <c r="I18" s="6">
        <f t="shared" si="8"/>
        <v>730.78200000000004</v>
      </c>
    </row>
    <row r="19" spans="2:9">
      <c r="B19" s="33" t="str">
        <f>'Profit and Loss Statement'!D19</f>
        <v>Professional Fees and Licensure</v>
      </c>
      <c r="C19" s="6">
        <f>$H$47/12</f>
        <v>291.66666666666669</v>
      </c>
      <c r="D19" s="6">
        <f t="shared" ref="D19:I19" si="9">$H$47/12</f>
        <v>291.66666666666669</v>
      </c>
      <c r="E19" s="6">
        <f t="shared" si="9"/>
        <v>291.66666666666669</v>
      </c>
      <c r="F19" s="6">
        <f t="shared" si="9"/>
        <v>291.66666666666669</v>
      </c>
      <c r="G19" s="6">
        <f t="shared" si="9"/>
        <v>291.66666666666669</v>
      </c>
      <c r="H19" s="6">
        <f t="shared" si="9"/>
        <v>291.66666666666669</v>
      </c>
      <c r="I19" s="6">
        <f t="shared" si="9"/>
        <v>291.66666666666669</v>
      </c>
    </row>
    <row r="20" spans="2:9">
      <c r="B20" s="29" t="s">
        <v>14</v>
      </c>
      <c r="C20" s="6">
        <f>$H$48/12</f>
        <v>2135.625</v>
      </c>
      <c r="D20" s="6">
        <f t="shared" ref="D20:I20" si="10">$H$48/12</f>
        <v>2135.625</v>
      </c>
      <c r="E20" s="6">
        <f t="shared" si="10"/>
        <v>2135.625</v>
      </c>
      <c r="F20" s="6">
        <f t="shared" si="10"/>
        <v>2135.625</v>
      </c>
      <c r="G20" s="6">
        <f t="shared" si="10"/>
        <v>2135.625</v>
      </c>
      <c r="H20" s="6">
        <f t="shared" si="10"/>
        <v>2135.625</v>
      </c>
      <c r="I20" s="6">
        <f t="shared" si="10"/>
        <v>2135.625</v>
      </c>
    </row>
    <row r="21" spans="2:9">
      <c r="B21" s="28" t="s">
        <v>8</v>
      </c>
      <c r="C21" s="6">
        <f>SUM(C13:C20)</f>
        <v>36298.17065</v>
      </c>
      <c r="D21" s="6">
        <f t="shared" ref="D21:I21" si="11">SUM(D13:D20)</f>
        <v>36298.17065</v>
      </c>
      <c r="E21" s="6">
        <f t="shared" si="11"/>
        <v>36298.17065</v>
      </c>
      <c r="F21" s="6">
        <f t="shared" si="11"/>
        <v>36298.17065</v>
      </c>
      <c r="G21" s="6">
        <f t="shared" si="11"/>
        <v>36298.17065</v>
      </c>
      <c r="H21" s="6">
        <f t="shared" si="11"/>
        <v>36298.17065</v>
      </c>
      <c r="I21" s="6">
        <f t="shared" si="11"/>
        <v>36298.17065</v>
      </c>
    </row>
    <row r="22" spans="2:9">
      <c r="B22" s="30"/>
    </row>
    <row r="23" spans="2:9">
      <c r="B23" s="24" t="s">
        <v>47</v>
      </c>
      <c r="C23" s="25">
        <f>C10-C21</f>
        <v>15901.82935</v>
      </c>
      <c r="D23" s="25">
        <f t="shared" ref="D23:I23" si="12">D10-D21</f>
        <v>15925.029349999997</v>
      </c>
      <c r="E23" s="25">
        <f t="shared" si="12"/>
        <v>15948.229350000001</v>
      </c>
      <c r="F23" s="25">
        <f t="shared" si="12"/>
        <v>15971.429349999999</v>
      </c>
      <c r="G23" s="25">
        <f t="shared" si="12"/>
        <v>15994.629350000003</v>
      </c>
      <c r="H23" s="25">
        <f t="shared" si="12"/>
        <v>16017.82935</v>
      </c>
      <c r="I23" s="25">
        <f t="shared" si="12"/>
        <v>16041.029349999997</v>
      </c>
    </row>
    <row r="24" spans="2:9">
      <c r="B24" s="29" t="s">
        <v>15</v>
      </c>
      <c r="C24" s="6">
        <f>(C6/$H$34)*$H$52</f>
        <v>3510.814387841388</v>
      </c>
      <c r="D24" s="6">
        <f t="shared" ref="D24:I24" si="13">(D6/$H$34)*$H$52</f>
        <v>3512.3747497915397</v>
      </c>
      <c r="E24" s="6">
        <f t="shared" si="13"/>
        <v>3513.9351117416918</v>
      </c>
      <c r="F24" s="6">
        <f t="shared" si="13"/>
        <v>3515.4954736918439</v>
      </c>
      <c r="G24" s="6">
        <f t="shared" si="13"/>
        <v>3517.0558356419956</v>
      </c>
      <c r="H24" s="6">
        <f t="shared" si="13"/>
        <v>3518.6161975921473</v>
      </c>
      <c r="I24" s="6">
        <f t="shared" si="13"/>
        <v>3520.1765595422989</v>
      </c>
    </row>
    <row r="25" spans="2:9">
      <c r="B25" s="29" t="s">
        <v>102</v>
      </c>
      <c r="C25" s="6">
        <f>(C6/$H$34)*$H$53</f>
        <v>702.16287756827762</v>
      </c>
      <c r="D25" s="6">
        <f t="shared" ref="D25:I25" si="14">(D6/$H$34)*$H$53</f>
        <v>702.474949958308</v>
      </c>
      <c r="E25" s="6">
        <f t="shared" si="14"/>
        <v>702.78702234833838</v>
      </c>
      <c r="F25" s="6">
        <f t="shared" si="14"/>
        <v>703.09909473836876</v>
      </c>
      <c r="G25" s="6">
        <f t="shared" si="14"/>
        <v>703.41116712839903</v>
      </c>
      <c r="H25" s="6">
        <f t="shared" si="14"/>
        <v>703.72323951842941</v>
      </c>
      <c r="I25" s="6">
        <f t="shared" si="14"/>
        <v>704.03531190845979</v>
      </c>
    </row>
    <row r="26" spans="2:9">
      <c r="B26" s="29" t="s">
        <v>16</v>
      </c>
      <c r="C26" s="6">
        <f>'Loan Amortization Table'!D14</f>
        <v>937.5</v>
      </c>
      <c r="D26" s="6">
        <f>'Loan Amortization Table'!D15</f>
        <v>932.65539621091409</v>
      </c>
      <c r="E26" s="6">
        <f>'Loan Amortization Table'!D16</f>
        <v>927.77445789341004</v>
      </c>
      <c r="F26" s="6">
        <f>'Loan Amortization Table'!D17</f>
        <v>922.85691253852474</v>
      </c>
      <c r="G26" s="6">
        <f>'Loan Amortization Table'!D18</f>
        <v>917.90248559347788</v>
      </c>
      <c r="H26" s="6">
        <f>'Loan Amortization Table'!D19</f>
        <v>912.91090044634302</v>
      </c>
      <c r="I26" s="6">
        <f>'Loan Amortization Table'!D20</f>
        <v>907.88187841060471</v>
      </c>
    </row>
    <row r="27" spans="2:9">
      <c r="B27" s="29" t="s">
        <v>54</v>
      </c>
      <c r="C27" s="6">
        <f>$H$55/12</f>
        <v>1041.6666666666667</v>
      </c>
      <c r="D27" s="6">
        <f t="shared" ref="D27:I27" si="15">$H$55/12</f>
        <v>1041.6666666666667</v>
      </c>
      <c r="E27" s="6">
        <f t="shared" si="15"/>
        <v>1041.6666666666667</v>
      </c>
      <c r="F27" s="6">
        <f t="shared" si="15"/>
        <v>1041.6666666666667</v>
      </c>
      <c r="G27" s="6">
        <f t="shared" si="15"/>
        <v>1041.6666666666667</v>
      </c>
      <c r="H27" s="6">
        <f t="shared" si="15"/>
        <v>1041.6666666666667</v>
      </c>
      <c r="I27" s="6">
        <f t="shared" si="15"/>
        <v>1041.6666666666667</v>
      </c>
    </row>
    <row r="28" spans="2:9">
      <c r="B28" s="38" t="s">
        <v>17</v>
      </c>
      <c r="C28" s="39">
        <f>C23-SUM(C24:C27)</f>
        <v>9709.685417923667</v>
      </c>
      <c r="D28" s="39">
        <f t="shared" ref="D28:I28" si="16">D23-SUM(D24:D27)</f>
        <v>9735.8575873725677</v>
      </c>
      <c r="E28" s="39">
        <f t="shared" si="16"/>
        <v>9762.0660913498941</v>
      </c>
      <c r="F28" s="39">
        <f t="shared" si="16"/>
        <v>9788.3112023645954</v>
      </c>
      <c r="G28" s="39">
        <f t="shared" si="16"/>
        <v>9814.5931949694641</v>
      </c>
      <c r="H28" s="39">
        <f t="shared" si="16"/>
        <v>9840.9123457764144</v>
      </c>
      <c r="I28" s="39">
        <f t="shared" si="16"/>
        <v>9867.2689334719653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60939</v>
      </c>
      <c r="D34" s="6">
        <f>Inputs!K42</f>
        <v>60966</v>
      </c>
      <c r="E34" s="6">
        <f>Inputs!L42</f>
        <v>60993</v>
      </c>
      <c r="F34" s="6">
        <f>Inputs!M42</f>
        <v>61020</v>
      </c>
      <c r="G34" s="6">
        <f>Inputs!N42</f>
        <v>61047</v>
      </c>
      <c r="H34" s="6">
        <f>'Profit and Loss Statement'!E6</f>
        <v>730782</v>
      </c>
    </row>
    <row r="35" spans="2:8">
      <c r="B35" s="31" t="s">
        <v>52</v>
      </c>
      <c r="C35" s="6">
        <f>Inputs!J61</f>
        <v>8576.5999999999985</v>
      </c>
      <c r="D35" s="6">
        <f>Inputs!K61</f>
        <v>8580.4</v>
      </c>
      <c r="E35" s="6">
        <f>Inputs!L61</f>
        <v>8584.2000000000007</v>
      </c>
      <c r="F35" s="6">
        <f>Inputs!M61</f>
        <v>8588</v>
      </c>
      <c r="G35" s="6">
        <f>Inputs!N61</f>
        <v>8591.7999999999993</v>
      </c>
      <c r="H35" s="6">
        <f>'Profit and Loss Statement'!E7</f>
        <v>102850.8</v>
      </c>
    </row>
    <row r="36" spans="2:8">
      <c r="B36" s="29" t="s">
        <v>12</v>
      </c>
      <c r="C36" s="17">
        <f>1-(C35/C34)</f>
        <v>0.85925925925925928</v>
      </c>
      <c r="D36" s="17">
        <f t="shared" ref="D36:H36" si="18">1-(D35/D34)</f>
        <v>0.85925925925925928</v>
      </c>
      <c r="E36" s="17">
        <f t="shared" si="18"/>
        <v>0.85925925925925928</v>
      </c>
      <c r="F36" s="17">
        <f t="shared" si="18"/>
        <v>0.85925925925925928</v>
      </c>
      <c r="G36" s="17">
        <f t="shared" si="18"/>
        <v>0.85925925925925928</v>
      </c>
      <c r="H36" s="17">
        <f t="shared" si="18"/>
        <v>0.85925925925925928</v>
      </c>
    </row>
    <row r="37" spans="2:8">
      <c r="B37" s="30"/>
    </row>
    <row r="38" spans="2:8">
      <c r="B38" s="37" t="s">
        <v>10</v>
      </c>
      <c r="C38" s="6">
        <f>C34-C35</f>
        <v>52362.400000000001</v>
      </c>
      <c r="D38" s="6">
        <f t="shared" ref="D38:H38" si="19">D34-D35</f>
        <v>52385.599999999999</v>
      </c>
      <c r="E38" s="6">
        <f t="shared" si="19"/>
        <v>52408.800000000003</v>
      </c>
      <c r="F38" s="6">
        <f t="shared" si="19"/>
        <v>52432</v>
      </c>
      <c r="G38" s="6">
        <f t="shared" si="19"/>
        <v>52455.199999999997</v>
      </c>
      <c r="H38" s="6">
        <f t="shared" si="19"/>
        <v>627931.19999999995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27916.666666666668</v>
      </c>
      <c r="D41" s="6">
        <f t="shared" ref="D41:G41" si="20">$H$41/12</f>
        <v>27916.666666666668</v>
      </c>
      <c r="E41" s="6">
        <f t="shared" si="20"/>
        <v>27916.666666666668</v>
      </c>
      <c r="F41" s="6">
        <f t="shared" si="20"/>
        <v>27916.666666666668</v>
      </c>
      <c r="G41" s="6">
        <f t="shared" si="20"/>
        <v>27916.666666666668</v>
      </c>
      <c r="H41" s="6">
        <f>'Profit and Loss Statement'!E13</f>
        <v>335000</v>
      </c>
    </row>
    <row r="42" spans="2:8">
      <c r="B42" s="33" t="str">
        <f>B14</f>
        <v>Facility Costs</v>
      </c>
      <c r="C42" s="6">
        <f>$H$42/12</f>
        <v>1666.6666666666667</v>
      </c>
      <c r="D42" s="6">
        <f t="shared" ref="D42:G42" si="21">$H$42/12</f>
        <v>1666.6666666666667</v>
      </c>
      <c r="E42" s="6">
        <f t="shared" si="21"/>
        <v>1666.6666666666667</v>
      </c>
      <c r="F42" s="6">
        <f t="shared" si="21"/>
        <v>1666.6666666666667</v>
      </c>
      <c r="G42" s="6">
        <f t="shared" si="21"/>
        <v>1666.6666666666667</v>
      </c>
      <c r="H42" s="6">
        <f>'Profit and Loss Statement'!E14</f>
        <v>20000</v>
      </c>
    </row>
    <row r="43" spans="2:8">
      <c r="B43" s="33" t="str">
        <f t="shared" ref="B43:B47" si="22">B15</f>
        <v>General and Administrative</v>
      </c>
      <c r="C43" s="6">
        <f>$H$43/12</f>
        <v>956.10644999999988</v>
      </c>
      <c r="D43" s="6">
        <f t="shared" ref="D43:G43" si="23">$H$43/12</f>
        <v>956.10644999999988</v>
      </c>
      <c r="E43" s="6">
        <f t="shared" si="23"/>
        <v>956.10644999999988</v>
      </c>
      <c r="F43" s="6">
        <f t="shared" si="23"/>
        <v>956.10644999999988</v>
      </c>
      <c r="G43" s="6">
        <f t="shared" si="23"/>
        <v>956.10644999999988</v>
      </c>
      <c r="H43" s="6">
        <f>'Profit and Loss Statement'!E15</f>
        <v>11473.277399999999</v>
      </c>
    </row>
    <row r="44" spans="2:8">
      <c r="B44" s="33" t="str">
        <f t="shared" si="22"/>
        <v>Equipment Costs</v>
      </c>
      <c r="C44" s="6">
        <f>$H$44/12</f>
        <v>925.65719999999999</v>
      </c>
      <c r="D44" s="6">
        <f t="shared" ref="D44:G44" si="24">$H$44/12</f>
        <v>925.65719999999999</v>
      </c>
      <c r="E44" s="6">
        <f t="shared" si="24"/>
        <v>925.65719999999999</v>
      </c>
      <c r="F44" s="6">
        <f t="shared" si="24"/>
        <v>925.65719999999999</v>
      </c>
      <c r="G44" s="6">
        <f t="shared" si="24"/>
        <v>925.65719999999999</v>
      </c>
      <c r="H44" s="6">
        <f>'Profit and Loss Statement'!E16</f>
        <v>11107.886399999999</v>
      </c>
    </row>
    <row r="45" spans="2:8">
      <c r="B45" s="33" t="str">
        <f t="shared" si="22"/>
        <v>Insurance Costs</v>
      </c>
      <c r="C45" s="6">
        <f>$H$45/12</f>
        <v>1675</v>
      </c>
      <c r="D45" s="6">
        <f t="shared" ref="D45:G45" si="25">$H$45/12</f>
        <v>1675</v>
      </c>
      <c r="E45" s="6">
        <f t="shared" si="25"/>
        <v>1675</v>
      </c>
      <c r="F45" s="6">
        <f t="shared" si="25"/>
        <v>1675</v>
      </c>
      <c r="G45" s="6">
        <f t="shared" si="25"/>
        <v>1675</v>
      </c>
      <c r="H45" s="6">
        <f>'Profit and Loss Statement'!E17</f>
        <v>20100</v>
      </c>
    </row>
    <row r="46" spans="2:8">
      <c r="B46" s="33" t="str">
        <f t="shared" si="22"/>
        <v>Marketing</v>
      </c>
      <c r="C46" s="6">
        <f>$H$46/12</f>
        <v>730.78200000000004</v>
      </c>
      <c r="D46" s="6">
        <f t="shared" ref="D46:G46" si="26">$H$46/12</f>
        <v>730.78200000000004</v>
      </c>
      <c r="E46" s="6">
        <f t="shared" si="26"/>
        <v>730.78200000000004</v>
      </c>
      <c r="F46" s="6">
        <f t="shared" si="26"/>
        <v>730.78200000000004</v>
      </c>
      <c r="G46" s="6">
        <f t="shared" si="26"/>
        <v>730.78200000000004</v>
      </c>
      <c r="H46" s="6">
        <f>'Profit and Loss Statement'!E18</f>
        <v>8769.384</v>
      </c>
    </row>
    <row r="47" spans="2:8">
      <c r="B47" s="33" t="str">
        <f t="shared" si="22"/>
        <v>Professional Fees and Licensure</v>
      </c>
      <c r="C47" s="6">
        <f>$H$47/12</f>
        <v>291.66666666666669</v>
      </c>
      <c r="D47" s="6">
        <f t="shared" ref="D47:G47" si="27">$H$47/12</f>
        <v>291.66666666666669</v>
      </c>
      <c r="E47" s="6">
        <f t="shared" si="27"/>
        <v>291.66666666666669</v>
      </c>
      <c r="F47" s="6">
        <f t="shared" si="27"/>
        <v>291.66666666666669</v>
      </c>
      <c r="G47" s="6">
        <f t="shared" si="27"/>
        <v>291.66666666666669</v>
      </c>
      <c r="H47" s="6">
        <f>'Profit and Loss Statement'!E19</f>
        <v>3500</v>
      </c>
    </row>
    <row r="48" spans="2:8">
      <c r="B48" s="29" t="s">
        <v>14</v>
      </c>
      <c r="C48" s="6">
        <f>$H$48/12</f>
        <v>2135.625</v>
      </c>
      <c r="D48" s="6">
        <f t="shared" ref="D48:G48" si="28">$H$48/12</f>
        <v>2135.625</v>
      </c>
      <c r="E48" s="6">
        <f t="shared" si="28"/>
        <v>2135.625</v>
      </c>
      <c r="F48" s="6">
        <f t="shared" si="28"/>
        <v>2135.625</v>
      </c>
      <c r="G48" s="6">
        <f t="shared" si="28"/>
        <v>2135.625</v>
      </c>
      <c r="H48" s="6">
        <f>'Profit and Loss Statement'!E20</f>
        <v>25627.5</v>
      </c>
    </row>
    <row r="49" spans="2:15">
      <c r="B49" s="28" t="s">
        <v>8</v>
      </c>
      <c r="C49" s="6">
        <f>SUM(C41:C48)</f>
        <v>36298.17065</v>
      </c>
      <c r="D49" s="6">
        <f t="shared" ref="D49:G49" si="29">SUM(D41:D48)</f>
        <v>36298.17065</v>
      </c>
      <c r="E49" s="6">
        <f t="shared" si="29"/>
        <v>36298.17065</v>
      </c>
      <c r="F49" s="6">
        <f t="shared" si="29"/>
        <v>36298.17065</v>
      </c>
      <c r="G49" s="6">
        <f t="shared" si="29"/>
        <v>36298.17065</v>
      </c>
      <c r="H49" s="6">
        <f>'Profit and Loss Statement'!E21</f>
        <v>435578.04780000006</v>
      </c>
    </row>
    <row r="50" spans="2:15">
      <c r="B50" s="30"/>
    </row>
    <row r="51" spans="2:15">
      <c r="B51" s="24" t="s">
        <v>47</v>
      </c>
      <c r="C51" s="25">
        <f>C38-C49</f>
        <v>16064.229350000001</v>
      </c>
      <c r="D51" s="25">
        <f t="shared" ref="D51:H51" si="30">D38-D49</f>
        <v>16087.429349999999</v>
      </c>
      <c r="E51" s="25">
        <f t="shared" si="30"/>
        <v>16110.629350000003</v>
      </c>
      <c r="F51" s="25">
        <f t="shared" si="30"/>
        <v>16133.82935</v>
      </c>
      <c r="G51" s="25">
        <f t="shared" si="30"/>
        <v>16157.029349999997</v>
      </c>
      <c r="H51" s="25">
        <f t="shared" si="30"/>
        <v>192353.15219999989</v>
      </c>
    </row>
    <row r="52" spans="2:15">
      <c r="B52" s="29" t="s">
        <v>15</v>
      </c>
      <c r="C52" s="6">
        <f>(C34/$H$34)*$H$52</f>
        <v>3521.7369214924506</v>
      </c>
      <c r="D52" s="6">
        <f t="shared" ref="D52:G52" si="31">(D34/$H$34)*$H$52</f>
        <v>3523.2972834426023</v>
      </c>
      <c r="E52" s="6">
        <f t="shared" si="31"/>
        <v>3524.857645392754</v>
      </c>
      <c r="F52" s="6">
        <f t="shared" si="31"/>
        <v>3526.4180073429056</v>
      </c>
      <c r="G52" s="6">
        <f t="shared" si="31"/>
        <v>3527.9783692930573</v>
      </c>
      <c r="H52" s="6">
        <f>'Profit and Loss Statement'!E24</f>
        <v>42232.756542806674</v>
      </c>
    </row>
    <row r="53" spans="2:15">
      <c r="B53" s="29" t="s">
        <v>102</v>
      </c>
      <c r="C53" s="6">
        <f>(C34/$H$34)*$H$53</f>
        <v>704.34738429849006</v>
      </c>
      <c r="D53" s="6">
        <f t="shared" ref="D53:G53" si="32">(D34/$H$34)*$H$53</f>
        <v>704.65945668852044</v>
      </c>
      <c r="E53" s="6">
        <f t="shared" si="32"/>
        <v>704.9715290785507</v>
      </c>
      <c r="F53" s="6">
        <f t="shared" si="32"/>
        <v>705.28360146858108</v>
      </c>
      <c r="G53" s="6">
        <f t="shared" si="32"/>
        <v>705.59567385861146</v>
      </c>
      <c r="H53" s="6">
        <f>'Profit and Loss Statement'!E25</f>
        <v>8446.5513085613347</v>
      </c>
    </row>
    <row r="54" spans="2:15">
      <c r="B54" s="29" t="s">
        <v>16</v>
      </c>
      <c r="C54" s="6">
        <f>'Loan Amortization Table'!D21</f>
        <v>902.81513870959827</v>
      </c>
      <c r="D54" s="6">
        <f>'Loan Amortization Table'!D22</f>
        <v>897.71039846083443</v>
      </c>
      <c r="E54" s="6">
        <f>'Loan Amortization Table'!D23</f>
        <v>892.56737266020468</v>
      </c>
      <c r="F54" s="6">
        <f>'Loan Amortization Table'!D24</f>
        <v>887.38577416607029</v>
      </c>
      <c r="G54" s="6">
        <f>'Loan Amortization Table'!D25</f>
        <v>882.1653136832299</v>
      </c>
      <c r="H54" s="6">
        <f>'Profit and Loss Statement'!E26</f>
        <v>10922.126028773213</v>
      </c>
    </row>
    <row r="55" spans="2:15">
      <c r="B55" s="29" t="s">
        <v>54</v>
      </c>
      <c r="C55" s="6">
        <f>$H$55/12</f>
        <v>1041.6666666666667</v>
      </c>
      <c r="D55" s="6">
        <f t="shared" ref="D55:G55" si="33">$H$55/12</f>
        <v>1041.6666666666667</v>
      </c>
      <c r="E55" s="6">
        <f t="shared" si="33"/>
        <v>1041.6666666666667</v>
      </c>
      <c r="F55" s="6">
        <f t="shared" si="33"/>
        <v>1041.6666666666667</v>
      </c>
      <c r="G55" s="6">
        <f t="shared" si="33"/>
        <v>1041.6666666666667</v>
      </c>
      <c r="H55" s="6">
        <f>'Profit and Loss Statement'!E27</f>
        <v>12500</v>
      </c>
    </row>
    <row r="56" spans="2:15">
      <c r="B56" s="38" t="s">
        <v>17</v>
      </c>
      <c r="C56" s="39">
        <f>C51-SUM(C52:C55)</f>
        <v>9893.6632388327962</v>
      </c>
      <c r="D56" s="39">
        <f t="shared" ref="D56:G56" si="34">D51-SUM(D52:D55)</f>
        <v>9920.0955447413744</v>
      </c>
      <c r="E56" s="39">
        <f t="shared" si="34"/>
        <v>9946.5661362018272</v>
      </c>
      <c r="F56" s="39">
        <f t="shared" si="34"/>
        <v>9973.0753003557766</v>
      </c>
      <c r="G56" s="39">
        <f t="shared" si="34"/>
        <v>9999.6233264984312</v>
      </c>
      <c r="H56" s="39">
        <f>'Profit and Loss Statement'!E28</f>
        <v>118251.71831985867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219234.59999999998</v>
      </c>
      <c r="D62" s="6">
        <f t="shared" ref="D62:F62" si="38">$G$62*M62</f>
        <v>219234.59999999998</v>
      </c>
      <c r="E62" s="6">
        <f t="shared" si="38"/>
        <v>219234.59999999998</v>
      </c>
      <c r="F62" s="6">
        <f t="shared" si="38"/>
        <v>219234.59999999998</v>
      </c>
      <c r="G62" s="6">
        <f>'Profit and Loss Statement'!F6</f>
        <v>876938.39999999991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30855.239999999998</v>
      </c>
      <c r="D63" s="6">
        <f t="shared" ref="D63:F63" si="39">$G$63*M62</f>
        <v>30855.239999999998</v>
      </c>
      <c r="E63" s="6">
        <f t="shared" si="39"/>
        <v>30855.239999999998</v>
      </c>
      <c r="F63" s="6">
        <f t="shared" si="39"/>
        <v>30855.239999999998</v>
      </c>
      <c r="G63" s="6">
        <f>'Profit and Loss Statement'!F7</f>
        <v>123420.95999999999</v>
      </c>
    </row>
    <row r="64" spans="2:15">
      <c r="B64" s="29" t="s">
        <v>12</v>
      </c>
      <c r="C64" s="17">
        <f>1-(C63/C62)</f>
        <v>0.85925925925925928</v>
      </c>
      <c r="D64" s="17">
        <f t="shared" ref="D64" si="40">1-(D63/D62)</f>
        <v>0.85925925925925928</v>
      </c>
      <c r="E64" s="17">
        <f t="shared" ref="E64" si="41">1-(E63/E62)</f>
        <v>0.85925925925925928</v>
      </c>
      <c r="F64" s="17">
        <f t="shared" ref="F64:G64" si="42">1-(F63/F62)</f>
        <v>0.85925925925925928</v>
      </c>
      <c r="G64" s="17">
        <f t="shared" si="42"/>
        <v>0.85925925925925928</v>
      </c>
    </row>
    <row r="65" spans="2:7">
      <c r="B65" s="30"/>
    </row>
    <row r="66" spans="2:7">
      <c r="B66" s="37" t="s">
        <v>10</v>
      </c>
      <c r="C66" s="6">
        <f>C62-C63</f>
        <v>188379.36</v>
      </c>
      <c r="D66" s="6">
        <f t="shared" ref="D66:G66" si="43">D62-D63</f>
        <v>188379.36</v>
      </c>
      <c r="E66" s="6">
        <f t="shared" si="43"/>
        <v>188379.36</v>
      </c>
      <c r="F66" s="6">
        <f t="shared" si="43"/>
        <v>188379.36</v>
      </c>
      <c r="G66" s="6">
        <f t="shared" si="43"/>
        <v>753517.44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86262.5</v>
      </c>
      <c r="D69" s="6">
        <f t="shared" ref="D69:F69" si="44">$G$69/4</f>
        <v>86262.5</v>
      </c>
      <c r="E69" s="6">
        <f t="shared" si="44"/>
        <v>86262.5</v>
      </c>
      <c r="F69" s="6">
        <f t="shared" si="44"/>
        <v>86262.5</v>
      </c>
      <c r="G69" s="6">
        <f>'Profit and Loss Statement'!F13</f>
        <v>345050</v>
      </c>
    </row>
    <row r="70" spans="2:7">
      <c r="B70" s="33" t="str">
        <f>B42</f>
        <v>Facility Costs</v>
      </c>
      <c r="C70" s="6">
        <f>$G$70/4</f>
        <v>5150</v>
      </c>
      <c r="D70" s="6">
        <f t="shared" ref="D70:F70" si="45">$G$70/4</f>
        <v>5150</v>
      </c>
      <c r="E70" s="6">
        <f t="shared" si="45"/>
        <v>5150</v>
      </c>
      <c r="F70" s="6">
        <f t="shared" si="45"/>
        <v>5150</v>
      </c>
      <c r="G70" s="6">
        <f>'Profit and Loss Statement'!F14</f>
        <v>20600</v>
      </c>
    </row>
    <row r="71" spans="2:7">
      <c r="B71" s="33" t="str">
        <f t="shared" ref="B71:B75" si="46">B43</f>
        <v>General and Administrative</v>
      </c>
      <c r="C71" s="6">
        <f>$G$71/4</f>
        <v>3441.9832199999992</v>
      </c>
      <c r="D71" s="6">
        <f t="shared" ref="D71:F71" si="47">$G$71/4</f>
        <v>3441.9832199999992</v>
      </c>
      <c r="E71" s="6">
        <f t="shared" si="47"/>
        <v>3441.9832199999992</v>
      </c>
      <c r="F71" s="6">
        <f t="shared" si="47"/>
        <v>3441.9832199999992</v>
      </c>
      <c r="G71" s="6">
        <f>'Profit and Loss Statement'!F15</f>
        <v>13767.932879999997</v>
      </c>
    </row>
    <row r="72" spans="2:7">
      <c r="B72" s="33" t="str">
        <f t="shared" si="46"/>
        <v>Equipment Costs</v>
      </c>
      <c r="C72" s="6">
        <f>$G$72/4</f>
        <v>3332.3659199999997</v>
      </c>
      <c r="D72" s="6">
        <f t="shared" ref="D72:F72" si="48">$G$72/4</f>
        <v>3332.3659199999997</v>
      </c>
      <c r="E72" s="6">
        <f t="shared" si="48"/>
        <v>3332.3659199999997</v>
      </c>
      <c r="F72" s="6">
        <f t="shared" si="48"/>
        <v>3332.3659199999997</v>
      </c>
      <c r="G72" s="6">
        <f>'Profit and Loss Statement'!F16</f>
        <v>13329.463679999999</v>
      </c>
    </row>
    <row r="73" spans="2:7">
      <c r="B73" s="33" t="str">
        <f t="shared" si="46"/>
        <v>Insurance Costs</v>
      </c>
      <c r="C73" s="6">
        <f>$G$73/4</f>
        <v>5175.75</v>
      </c>
      <c r="D73" s="6">
        <f t="shared" ref="D73:F73" si="49">$G$73/4</f>
        <v>5175.75</v>
      </c>
      <c r="E73" s="6">
        <f t="shared" si="49"/>
        <v>5175.75</v>
      </c>
      <c r="F73" s="6">
        <f t="shared" si="49"/>
        <v>5175.75</v>
      </c>
      <c r="G73" s="6">
        <f>'Profit and Loss Statement'!F17</f>
        <v>20703</v>
      </c>
    </row>
    <row r="74" spans="2:7">
      <c r="B74" s="33" t="str">
        <f t="shared" si="46"/>
        <v>Marketing</v>
      </c>
      <c r="C74" s="6">
        <f>$G$74/4</f>
        <v>2630.8151999999995</v>
      </c>
      <c r="D74" s="6">
        <f t="shared" ref="D74:F74" si="50">$G$74/4</f>
        <v>2630.8151999999995</v>
      </c>
      <c r="E74" s="6">
        <f t="shared" si="50"/>
        <v>2630.8151999999995</v>
      </c>
      <c r="F74" s="6">
        <f t="shared" si="50"/>
        <v>2630.8151999999995</v>
      </c>
      <c r="G74" s="6">
        <f>'Profit and Loss Statement'!F18</f>
        <v>10523.260799999998</v>
      </c>
    </row>
    <row r="75" spans="2:7">
      <c r="B75" s="33" t="str">
        <f t="shared" si="46"/>
        <v>Professional Fees and Licensure</v>
      </c>
      <c r="C75" s="6">
        <f>$G$75/4</f>
        <v>1181.25</v>
      </c>
      <c r="D75" s="6">
        <f t="shared" ref="D75:F75" si="51">$G$75/4</f>
        <v>1181.25</v>
      </c>
      <c r="E75" s="6">
        <f t="shared" si="51"/>
        <v>1181.25</v>
      </c>
      <c r="F75" s="6">
        <f t="shared" si="51"/>
        <v>1181.25</v>
      </c>
      <c r="G75" s="6">
        <f>'Profit and Loss Statement'!F19</f>
        <v>4725</v>
      </c>
    </row>
    <row r="76" spans="2:7">
      <c r="B76" s="29" t="s">
        <v>14</v>
      </c>
      <c r="C76" s="6">
        <f>$G$76/4</f>
        <v>6599.0812500000002</v>
      </c>
      <c r="D76" s="6">
        <f t="shared" ref="D76:F76" si="52">$G$76/4</f>
        <v>6599.0812500000002</v>
      </c>
      <c r="E76" s="6">
        <f t="shared" si="52"/>
        <v>6599.0812500000002</v>
      </c>
      <c r="F76" s="6">
        <f t="shared" si="52"/>
        <v>6599.0812500000002</v>
      </c>
      <c r="G76" s="6">
        <f>'Profit and Loss Statement'!F20</f>
        <v>26396.325000000001</v>
      </c>
    </row>
    <row r="77" spans="2:7">
      <c r="B77" s="28" t="s">
        <v>8</v>
      </c>
      <c r="C77" s="6">
        <f>SUM(C69:C76)</f>
        <v>113773.74558999999</v>
      </c>
      <c r="D77" s="6">
        <f t="shared" ref="D77:F77" si="53">SUM(D69:D76)</f>
        <v>113773.74558999999</v>
      </c>
      <c r="E77" s="6">
        <f t="shared" si="53"/>
        <v>113773.74558999999</v>
      </c>
      <c r="F77" s="6">
        <f t="shared" si="53"/>
        <v>113773.74558999999</v>
      </c>
      <c r="G77" s="6">
        <f>SUM(G69:G76)</f>
        <v>455094.98235999997</v>
      </c>
    </row>
    <row r="78" spans="2:7">
      <c r="B78" s="30"/>
    </row>
    <row r="79" spans="2:7">
      <c r="B79" s="24" t="s">
        <v>47</v>
      </c>
      <c r="C79" s="25">
        <f>C66-C77</f>
        <v>74605.614409999995</v>
      </c>
      <c r="D79" s="25">
        <f t="shared" ref="D79:F79" si="54">D66-D77</f>
        <v>74605.614409999995</v>
      </c>
      <c r="E79" s="25">
        <f t="shared" si="54"/>
        <v>74605.614409999995</v>
      </c>
      <c r="F79" s="25">
        <f t="shared" si="54"/>
        <v>74605.614409999995</v>
      </c>
      <c r="G79" s="25">
        <f t="shared" ref="G79" si="55">G66-G77</f>
        <v>298422.45763999998</v>
      </c>
    </row>
    <row r="80" spans="2:7">
      <c r="B80" s="29" t="s">
        <v>15</v>
      </c>
      <c r="C80" s="6">
        <f>$G$80*L62</f>
        <v>17234.888753395837</v>
      </c>
      <c r="D80" s="6">
        <f t="shared" ref="D80:F80" si="56">$G$80*M62</f>
        <v>17234.888753395837</v>
      </c>
      <c r="E80" s="6">
        <f t="shared" si="56"/>
        <v>17234.888753395837</v>
      </c>
      <c r="F80" s="6">
        <f t="shared" si="56"/>
        <v>17234.888753395837</v>
      </c>
      <c r="G80" s="6">
        <f>'Profit and Loss Statement'!F24</f>
        <v>68939.555013583347</v>
      </c>
    </row>
    <row r="81" spans="2:15">
      <c r="B81" s="29" t="s">
        <v>102</v>
      </c>
      <c r="C81" s="6">
        <f>$G$81*L62</f>
        <v>3446.9777506791675</v>
      </c>
      <c r="D81" s="6">
        <f t="shared" ref="D81:F81" si="57">$G$81*M62</f>
        <v>3446.9777506791675</v>
      </c>
      <c r="E81" s="6">
        <f t="shared" si="57"/>
        <v>3446.9777506791675</v>
      </c>
      <c r="F81" s="6">
        <f t="shared" si="57"/>
        <v>3446.9777506791675</v>
      </c>
      <c r="G81" s="6">
        <f>'Profit and Loss Statement'!F25</f>
        <v>13787.91100271667</v>
      </c>
    </row>
    <row r="82" spans="2:15">
      <c r="B82" s="29" t="s">
        <v>16</v>
      </c>
      <c r="C82" s="6">
        <f>SUM('Loan Amortization Table'!D26:D28)</f>
        <v>2614.7801731595423</v>
      </c>
      <c r="D82" s="6">
        <f>SUM('Loan Amortization Table'!D29:D31)</f>
        <v>2566.3687660373748</v>
      </c>
      <c r="E82" s="6">
        <f>SUM('Loan Amortization Table'!D32:D34)</f>
        <v>2516.8599124064449</v>
      </c>
      <c r="F82" s="6">
        <f>SUM('Loan Amortization Table'!D35:D37)</f>
        <v>2466.2287340632206</v>
      </c>
      <c r="G82" s="6">
        <f>'Profit and Loss Statement'!F26</f>
        <v>10164.237585666584</v>
      </c>
    </row>
    <row r="83" spans="2:15">
      <c r="B83" s="29" t="s">
        <v>54</v>
      </c>
      <c r="C83" s="6">
        <f>$G$83/4</f>
        <v>3125</v>
      </c>
      <c r="D83" s="6">
        <f t="shared" ref="D83:F83" si="58">$G$83/4</f>
        <v>3125</v>
      </c>
      <c r="E83" s="6">
        <f t="shared" si="58"/>
        <v>3125</v>
      </c>
      <c r="F83" s="6">
        <f t="shared" si="58"/>
        <v>3125</v>
      </c>
      <c r="G83" s="6">
        <f>'Profit and Loss Statement'!F27</f>
        <v>12500</v>
      </c>
    </row>
    <row r="84" spans="2:15">
      <c r="B84" s="38" t="s">
        <v>17</v>
      </c>
      <c r="C84" s="39">
        <f>C79-SUM(C80:C83)</f>
        <v>48183.96773276545</v>
      </c>
      <c r="D84" s="39">
        <f t="shared" ref="D84:F84" si="59">D79-SUM(D80:D83)</f>
        <v>48232.379139887613</v>
      </c>
      <c r="E84" s="39">
        <f t="shared" si="59"/>
        <v>48281.88799351854</v>
      </c>
      <c r="F84" s="39">
        <f t="shared" si="59"/>
        <v>48332.519171861772</v>
      </c>
      <c r="G84" s="39">
        <f>'Profit and Loss Statement'!F28</f>
        <v>193030.75403803337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252119.78999999998</v>
      </c>
      <c r="D92" s="6">
        <f t="shared" ref="D92:F92" si="64">$G$92*M92</f>
        <v>252119.78999999998</v>
      </c>
      <c r="E92" s="6">
        <f t="shared" si="64"/>
        <v>252119.78999999998</v>
      </c>
      <c r="F92" s="6">
        <f t="shared" si="64"/>
        <v>252119.78999999998</v>
      </c>
      <c r="G92" s="6">
        <f>'Profit and Loss Statement'!G6</f>
        <v>1008479.1599999999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35483.525999999998</v>
      </c>
      <c r="D93" s="6">
        <f t="shared" ref="D93:F93" si="65">$G$93*M92</f>
        <v>35483.525999999998</v>
      </c>
      <c r="E93" s="6">
        <f t="shared" si="65"/>
        <v>35483.525999999998</v>
      </c>
      <c r="F93" s="6">
        <f t="shared" si="65"/>
        <v>35483.525999999998</v>
      </c>
      <c r="G93" s="6">
        <f>'Profit and Loss Statement'!G7</f>
        <v>141934.10399999999</v>
      </c>
    </row>
    <row r="94" spans="2:15">
      <c r="B94" s="29" t="s">
        <v>12</v>
      </c>
      <c r="C94" s="17">
        <f>1-(C93/C92)</f>
        <v>0.85925925925925928</v>
      </c>
      <c r="D94" s="17">
        <f t="shared" ref="D94:G94" si="66">1-(D93/D92)</f>
        <v>0.85925925925925928</v>
      </c>
      <c r="E94" s="17">
        <f t="shared" si="66"/>
        <v>0.85925925925925928</v>
      </c>
      <c r="F94" s="17">
        <f t="shared" si="66"/>
        <v>0.85925925925925928</v>
      </c>
      <c r="G94" s="17">
        <f t="shared" si="66"/>
        <v>0.85925925925925928</v>
      </c>
    </row>
    <row r="95" spans="2:15">
      <c r="B95" s="30"/>
    </row>
    <row r="96" spans="2:15">
      <c r="B96" s="37" t="s">
        <v>10</v>
      </c>
      <c r="C96" s="6">
        <f>C92-C93</f>
        <v>216636.26399999997</v>
      </c>
      <c r="D96" s="6">
        <f t="shared" ref="D96:G96" si="67">D92-D93</f>
        <v>216636.26399999997</v>
      </c>
      <c r="E96" s="6">
        <f t="shared" si="67"/>
        <v>216636.26399999997</v>
      </c>
      <c r="F96" s="6">
        <f t="shared" si="67"/>
        <v>216636.26399999997</v>
      </c>
      <c r="G96" s="6">
        <f t="shared" si="67"/>
        <v>866545.05599999987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88850.375</v>
      </c>
      <c r="D99" s="6">
        <f>$G$99/4</f>
        <v>88850.375</v>
      </c>
      <c r="E99" s="6">
        <f>$G$99/4</f>
        <v>88850.375</v>
      </c>
      <c r="F99" s="6">
        <f>$G$99/4</f>
        <v>88850.375</v>
      </c>
      <c r="G99" s="6">
        <f>'Profit and Loss Statement'!G13</f>
        <v>355401.5</v>
      </c>
    </row>
    <row r="100" spans="2:7">
      <c r="B100" s="33" t="str">
        <f>B70</f>
        <v>Facility Costs</v>
      </c>
      <c r="C100" s="6">
        <f>$G$100/4</f>
        <v>5304.5</v>
      </c>
      <c r="D100" s="6">
        <f t="shared" ref="D100:F100" si="68">$G$100/4</f>
        <v>5304.5</v>
      </c>
      <c r="E100" s="6">
        <f t="shared" si="68"/>
        <v>5304.5</v>
      </c>
      <c r="F100" s="6">
        <f t="shared" si="68"/>
        <v>5304.5</v>
      </c>
      <c r="G100" s="6">
        <f>'Profit and Loss Statement'!G14</f>
        <v>21218</v>
      </c>
    </row>
    <row r="101" spans="2:7">
      <c r="B101" s="33" t="str">
        <f t="shared" ref="B101:B105" si="69">B71</f>
        <v>General and Administrative</v>
      </c>
      <c r="C101" s="6">
        <f>$G101/4</f>
        <v>3958.2807029999994</v>
      </c>
      <c r="D101" s="6">
        <f t="shared" ref="D101:F101" si="70">$G101/4</f>
        <v>3958.2807029999994</v>
      </c>
      <c r="E101" s="6">
        <f t="shared" si="70"/>
        <v>3958.2807029999994</v>
      </c>
      <c r="F101" s="6">
        <f t="shared" si="70"/>
        <v>3958.2807029999994</v>
      </c>
      <c r="G101" s="6">
        <f>'Profit and Loss Statement'!G15</f>
        <v>15833.122811999998</v>
      </c>
    </row>
    <row r="102" spans="2:7">
      <c r="B102" s="33" t="str">
        <f t="shared" si="69"/>
        <v>Equipment Costs</v>
      </c>
      <c r="C102" s="6">
        <f>$G$102/4</f>
        <v>3832.2208079999996</v>
      </c>
      <c r="D102" s="6">
        <f t="shared" ref="D102:F102" si="71">$G$102/4</f>
        <v>3832.2208079999996</v>
      </c>
      <c r="E102" s="6">
        <f t="shared" si="71"/>
        <v>3832.2208079999996</v>
      </c>
      <c r="F102" s="6">
        <f t="shared" si="71"/>
        <v>3832.2208079999996</v>
      </c>
      <c r="G102" s="6">
        <f>'Profit and Loss Statement'!G16</f>
        <v>15328.883231999998</v>
      </c>
    </row>
    <row r="103" spans="2:7">
      <c r="B103" s="33" t="str">
        <f t="shared" si="69"/>
        <v>Insurance Costs</v>
      </c>
      <c r="C103" s="6">
        <f>$G$103/4</f>
        <v>5331.0225</v>
      </c>
      <c r="D103" s="6">
        <f t="shared" ref="D103:F103" si="72">$G$103/4</f>
        <v>5331.0225</v>
      </c>
      <c r="E103" s="6">
        <f t="shared" si="72"/>
        <v>5331.0225</v>
      </c>
      <c r="F103" s="6">
        <f t="shared" si="72"/>
        <v>5331.0225</v>
      </c>
      <c r="G103" s="6">
        <f>'Profit and Loss Statement'!G17</f>
        <v>21324.09</v>
      </c>
    </row>
    <row r="104" spans="2:7">
      <c r="B104" s="33" t="str">
        <f t="shared" si="69"/>
        <v>Marketing</v>
      </c>
      <c r="C104" s="6">
        <f>$G$104/4</f>
        <v>3025.4374799999996</v>
      </c>
      <c r="D104" s="6">
        <f t="shared" ref="D104:F104" si="73">$G$104/4</f>
        <v>3025.4374799999996</v>
      </c>
      <c r="E104" s="6">
        <f t="shared" si="73"/>
        <v>3025.4374799999996</v>
      </c>
      <c r="F104" s="6">
        <f t="shared" si="73"/>
        <v>3025.4374799999996</v>
      </c>
      <c r="G104" s="6">
        <f>'Profit and Loss Statement'!G18</f>
        <v>12101.749919999998</v>
      </c>
    </row>
    <row r="105" spans="2:7">
      <c r="B105" s="33" t="str">
        <f t="shared" si="69"/>
        <v>Professional Fees and Licensure</v>
      </c>
      <c r="C105" s="6">
        <f>$G$105/4</f>
        <v>1594.6875</v>
      </c>
      <c r="D105" s="6">
        <f t="shared" ref="D105:F105" si="74">$G$105/4</f>
        <v>1594.6875</v>
      </c>
      <c r="E105" s="6">
        <f t="shared" si="74"/>
        <v>1594.6875</v>
      </c>
      <c r="F105" s="6">
        <f t="shared" si="74"/>
        <v>1594.6875</v>
      </c>
      <c r="G105" s="6">
        <f>'Profit and Loss Statement'!G19</f>
        <v>6378.75</v>
      </c>
    </row>
    <row r="106" spans="2:7">
      <c r="B106" s="29" t="s">
        <v>14</v>
      </c>
      <c r="C106" s="6">
        <f>$G$106/4</f>
        <v>6797.0536874999998</v>
      </c>
      <c r="D106" s="6">
        <f t="shared" ref="D106:F106" si="75">$G$106/4</f>
        <v>6797.0536874999998</v>
      </c>
      <c r="E106" s="6">
        <f t="shared" si="75"/>
        <v>6797.0536874999998</v>
      </c>
      <c r="F106" s="6">
        <f t="shared" si="75"/>
        <v>6797.0536874999998</v>
      </c>
      <c r="G106" s="6">
        <f>'Profit and Loss Statement'!G20</f>
        <v>27188.214749999999</v>
      </c>
    </row>
    <row r="107" spans="2:7">
      <c r="B107" s="28" t="s">
        <v>8</v>
      </c>
      <c r="C107" s="6">
        <f>SUM(C99:C106)</f>
        <v>118693.57767849999</v>
      </c>
      <c r="D107" s="6">
        <f t="shared" ref="D107:F107" si="76">SUM(D99:D106)</f>
        <v>118693.57767849999</v>
      </c>
      <c r="E107" s="6">
        <f t="shared" si="76"/>
        <v>118693.57767849999</v>
      </c>
      <c r="F107" s="6">
        <f t="shared" si="76"/>
        <v>118693.57767849999</v>
      </c>
      <c r="G107" s="6">
        <f>SUM(G99:G106)</f>
        <v>474774.31071399996</v>
      </c>
    </row>
    <row r="108" spans="2:7">
      <c r="B108" s="30"/>
    </row>
    <row r="109" spans="2:7">
      <c r="B109" s="24" t="s">
        <v>47</v>
      </c>
      <c r="C109" s="25">
        <f>C96-C107</f>
        <v>97942.686321499976</v>
      </c>
      <c r="D109" s="25">
        <f t="shared" ref="D109:G109" si="77">D96-D107</f>
        <v>97942.686321499976</v>
      </c>
      <c r="E109" s="25">
        <f t="shared" si="77"/>
        <v>97942.686321499976</v>
      </c>
      <c r="F109" s="25">
        <f t="shared" si="77"/>
        <v>97942.686321499976</v>
      </c>
      <c r="G109" s="25">
        <f t="shared" si="77"/>
        <v>391770.7452859999</v>
      </c>
    </row>
    <row r="110" spans="2:7">
      <c r="B110" s="29" t="s">
        <v>15</v>
      </c>
      <c r="C110" s="6">
        <f>$G$110*L92</f>
        <v>23120.968206691781</v>
      </c>
      <c r="D110" s="6">
        <f t="shared" ref="D110:F110" si="78">$G$110*M92</f>
        <v>23120.968206691781</v>
      </c>
      <c r="E110" s="6">
        <f t="shared" si="78"/>
        <v>23120.968206691781</v>
      </c>
      <c r="F110" s="6">
        <f t="shared" si="78"/>
        <v>23120.968206691781</v>
      </c>
      <c r="G110" s="6">
        <f>'Profit and Loss Statement'!G24</f>
        <v>92483.872826767125</v>
      </c>
    </row>
    <row r="111" spans="2:7">
      <c r="B111" s="29" t="s">
        <v>102</v>
      </c>
      <c r="C111" s="6">
        <f>$G$111*L92</f>
        <v>4624.1936413383564</v>
      </c>
      <c r="D111" s="6">
        <f t="shared" ref="D111:F111" si="79">$G$111*M92</f>
        <v>4624.1936413383564</v>
      </c>
      <c r="E111" s="6">
        <f t="shared" si="79"/>
        <v>4624.1936413383564</v>
      </c>
      <c r="F111" s="6">
        <f t="shared" si="79"/>
        <v>4624.1936413383564</v>
      </c>
      <c r="G111" s="6">
        <f>'Profit and Loss Statement'!G25</f>
        <v>18496.774565353426</v>
      </c>
    </row>
    <row r="112" spans="2:7">
      <c r="B112" s="29" t="s">
        <v>16</v>
      </c>
      <c r="C112" s="6">
        <f>SUM('Loan Amortization Table'!D38:D40)</f>
        <v>2414.4497888359006</v>
      </c>
      <c r="D112" s="6">
        <f>SUM('Loan Amortization Table'!D41:D43)</f>
        <v>2361.497057799716</v>
      </c>
      <c r="E112" s="6">
        <f>SUM('Loan Amortization Table'!D44:D46)</f>
        <v>2307.3439322024215</v>
      </c>
      <c r="F112" s="6">
        <f>SUM('Loan Amortization Table'!D47:D49)</f>
        <v>2251.9632000933934</v>
      </c>
      <c r="G112" s="6">
        <f>'Profit and Loss Statement'!G26</f>
        <v>9335.2539789314305</v>
      </c>
    </row>
    <row r="113" spans="2:15">
      <c r="B113" s="29" t="s">
        <v>54</v>
      </c>
      <c r="C113" s="6">
        <f>$G$113/4</f>
        <v>3125</v>
      </c>
      <c r="D113" s="6">
        <f>$G$113/4</f>
        <v>3125</v>
      </c>
      <c r="E113" s="6">
        <f>$G$113/4</f>
        <v>3125</v>
      </c>
      <c r="F113" s="6">
        <f>$G$113/4</f>
        <v>3125</v>
      </c>
      <c r="G113" s="6">
        <f>'Profit and Loss Statement'!G27</f>
        <v>12500</v>
      </c>
    </row>
    <row r="114" spans="2:15">
      <c r="B114" s="38" t="s">
        <v>17</v>
      </c>
      <c r="C114" s="39">
        <f>C109-SUM(C110:C113)</f>
        <v>64658.074684633939</v>
      </c>
      <c r="D114" s="39">
        <f t="shared" ref="D114:F114" si="80">D109-SUM(D110:D113)</f>
        <v>64711.02741567012</v>
      </c>
      <c r="E114" s="39">
        <f t="shared" si="80"/>
        <v>64765.180541267415</v>
      </c>
      <c r="F114" s="39">
        <f t="shared" si="80"/>
        <v>64820.561273376443</v>
      </c>
      <c r="G114" s="39">
        <f>'Profit and Loss Statement'!G28</f>
        <v>258954.84391494794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Q33" sqref="Q33"/>
    </sheetView>
  </sheetViews>
  <sheetFormatPr defaultRowHeight="15"/>
  <cols>
    <col min="3" max="3" width="26.5703125" customWidth="1"/>
    <col min="4" max="5" width="11.140625" bestFit="1" customWidth="1"/>
    <col min="6" max="6" width="10.85546875" customWidth="1"/>
    <col min="7" max="8" width="10.28515625" customWidth="1"/>
    <col min="9" max="9" width="10.140625" customWidth="1"/>
    <col min="10" max="10" width="9.42578125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10751.352084590333</v>
      </c>
      <c r="E6" s="13">
        <f>'Expanded Profit and Loss'!D28+'Expanded Profit and Loss'!D27</f>
        <v>10777.524254039234</v>
      </c>
      <c r="F6" s="13">
        <f>'Expanded Profit and Loss'!E28+'Expanded Profit and Loss'!E27</f>
        <v>10803.73275801656</v>
      </c>
      <c r="G6" s="13">
        <f>'Expanded Profit and Loss'!F28+'Expanded Profit and Loss'!F27</f>
        <v>10829.977869031261</v>
      </c>
      <c r="H6" s="13">
        <f>'Expanded Profit and Loss'!G28+'Expanded Profit and Loss'!G27</f>
        <v>10856.25986163613</v>
      </c>
      <c r="I6" s="13">
        <f>'Expanded Profit and Loss'!H28+'Expanded Profit and Loss'!H27</f>
        <v>10882.579012443081</v>
      </c>
      <c r="J6" s="13">
        <f>'Expanded Profit and Loss'!I28+'Expanded Profit and Loss'!I27</f>
        <v>10908.935600138631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125000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150833.33333333334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161584.68541792367</v>
      </c>
      <c r="E15" s="27">
        <f t="shared" ref="E15:J15" si="3">E6+E12</f>
        <v>11610.857587372568</v>
      </c>
      <c r="F15" s="27">
        <f t="shared" si="3"/>
        <v>11637.066091349894</v>
      </c>
      <c r="G15" s="27">
        <f t="shared" si="3"/>
        <v>11663.311202364595</v>
      </c>
      <c r="H15" s="27">
        <f t="shared" si="3"/>
        <v>11689.593194969464</v>
      </c>
      <c r="I15" s="27">
        <f t="shared" si="3"/>
        <v>11715.912345776414</v>
      </c>
      <c r="J15" s="27">
        <f t="shared" si="3"/>
        <v>11742.268933471965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645.94717187811852</v>
      </c>
      <c r="E18" s="6">
        <f>'Loan Amortization Table'!C15</f>
        <v>650.79177566720443</v>
      </c>
      <c r="F18" s="6">
        <f>'Loan Amortization Table'!C16</f>
        <v>655.67271398470848</v>
      </c>
      <c r="G18" s="6">
        <f>'Loan Amortization Table'!C17</f>
        <v>660.59025933959379</v>
      </c>
      <c r="H18" s="6">
        <f>'Loan Amortization Table'!C18</f>
        <v>665.54468628464065</v>
      </c>
      <c r="I18" s="6">
        <f>'Loan Amortization Table'!C19</f>
        <v>670.5362714317755</v>
      </c>
      <c r="J18" s="6">
        <f>'Loan Amortization Table'!C20</f>
        <v>675.56529346751381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60000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61229.280505211449</v>
      </c>
      <c r="E22" s="26">
        <f t="shared" ref="E22:J22" si="5">SUM(E18:E21)</f>
        <v>1234.1251090005378</v>
      </c>
      <c r="F22" s="26">
        <f t="shared" si="5"/>
        <v>1239.006047318042</v>
      </c>
      <c r="G22" s="26">
        <f t="shared" si="5"/>
        <v>1243.923592672927</v>
      </c>
      <c r="H22" s="26">
        <f t="shared" si="5"/>
        <v>1248.8780196179741</v>
      </c>
      <c r="I22" s="26">
        <f t="shared" si="5"/>
        <v>1253.8696047651088</v>
      </c>
      <c r="J22" s="26">
        <f t="shared" si="5"/>
        <v>1258.8986268008471</v>
      </c>
    </row>
    <row r="23" spans="3:10">
      <c r="C23" s="30"/>
    </row>
    <row r="24" spans="3:10">
      <c r="C24" s="42" t="s">
        <v>27</v>
      </c>
      <c r="D24" s="25">
        <f>D15-D22</f>
        <v>100355.40491271223</v>
      </c>
      <c r="E24" s="25">
        <f t="shared" ref="E24:J24" si="6">E15-E22</f>
        <v>10376.732478372031</v>
      </c>
      <c r="F24" s="25">
        <f t="shared" si="6"/>
        <v>10398.060044031852</v>
      </c>
      <c r="G24" s="25">
        <f t="shared" si="6"/>
        <v>10419.387609691668</v>
      </c>
      <c r="H24" s="25">
        <f t="shared" si="6"/>
        <v>10440.71517535149</v>
      </c>
      <c r="I24" s="25">
        <f t="shared" si="6"/>
        <v>10462.042741011306</v>
      </c>
      <c r="J24" s="25">
        <f t="shared" si="6"/>
        <v>10483.370306671119</v>
      </c>
    </row>
    <row r="25" spans="3:10">
      <c r="C25" s="42" t="s">
        <v>6</v>
      </c>
      <c r="D25" s="25">
        <f>D24</f>
        <v>100355.40491271223</v>
      </c>
      <c r="E25" s="25">
        <f>D25+E24</f>
        <v>110732.13739108425</v>
      </c>
      <c r="F25" s="25">
        <f t="shared" ref="F25:J25" si="7">E25+F24</f>
        <v>121130.1974351161</v>
      </c>
      <c r="G25" s="25">
        <f t="shared" si="7"/>
        <v>131549.58504480778</v>
      </c>
      <c r="H25" s="25">
        <f t="shared" si="7"/>
        <v>141990.30022015926</v>
      </c>
      <c r="I25" s="25">
        <f t="shared" si="7"/>
        <v>152452.34296117057</v>
      </c>
      <c r="J25" s="25">
        <f t="shared" si="7"/>
        <v>162935.7132678417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10935.329905499462</v>
      </c>
      <c r="E31" s="13">
        <f>'Expanded Profit and Loss'!D56+'Expanded Profit and Loss'!D55</f>
        <v>10961.76221140804</v>
      </c>
      <c r="F31" s="13">
        <f>'Expanded Profit and Loss'!E56+'Expanded Profit and Loss'!E55</f>
        <v>10988.232802868493</v>
      </c>
      <c r="G31" s="13">
        <f>'Expanded Profit and Loss'!F56+'Expanded Profit and Loss'!F55</f>
        <v>11014.741967022443</v>
      </c>
      <c r="H31" s="13">
        <f>'Expanded Profit and Loss'!G56+'Expanded Profit and Loss'!G55</f>
        <v>11041.289993165097</v>
      </c>
      <c r="I31" s="13">
        <f>'Cash Flow Analysis'!E6</f>
        <v>130751.71831985867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125000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160000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11768.663238832796</v>
      </c>
      <c r="E40" s="27">
        <f t="shared" ref="E40:H40" si="13">E31+E37</f>
        <v>11795.095544741374</v>
      </c>
      <c r="F40" s="27">
        <f t="shared" si="13"/>
        <v>11821.566136201827</v>
      </c>
      <c r="G40" s="27">
        <f t="shared" si="13"/>
        <v>11848.075300355777</v>
      </c>
      <c r="H40" s="27">
        <f t="shared" si="13"/>
        <v>11874.623326498431</v>
      </c>
      <c r="I40" s="36">
        <f>'Cash Flow Analysis'!E15</f>
        <v>290751.71831985866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680.63203316852025</v>
      </c>
      <c r="E43" s="6">
        <f>'Loan Amortization Table'!C22</f>
        <v>685.7367734172841</v>
      </c>
      <c r="F43" s="6">
        <f>'Loan Amortization Table'!C23</f>
        <v>690.87979921791384</v>
      </c>
      <c r="G43" s="6">
        <f>'Loan Amortization Table'!C24</f>
        <v>696.06139771204823</v>
      </c>
      <c r="H43" s="6">
        <f>'Loan Amortization Table'!C25</f>
        <v>701.28185819488863</v>
      </c>
      <c r="I43" s="6">
        <f>'Cash Flow Analysis'!E18</f>
        <v>8079.2400337642102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60000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91526.202823901069</v>
      </c>
      <c r="I46" s="13">
        <f>'Cash Flow Analysis'!E21</f>
        <v>91526.202823901069</v>
      </c>
      <c r="J46" s="30"/>
    </row>
    <row r="47" spans="3:10">
      <c r="C47" s="37" t="s">
        <v>26</v>
      </c>
      <c r="D47" s="26">
        <f>SUM(D43:D46)</f>
        <v>1263.9653665018536</v>
      </c>
      <c r="E47" s="26">
        <f t="shared" ref="E47:H47" si="15">SUM(E43:E46)</f>
        <v>1269.0701067506175</v>
      </c>
      <c r="F47" s="26">
        <f t="shared" si="15"/>
        <v>1274.2131325512473</v>
      </c>
      <c r="G47" s="26">
        <f t="shared" si="15"/>
        <v>1279.3947310453816</v>
      </c>
      <c r="H47" s="26">
        <f t="shared" si="15"/>
        <v>92810.818015429293</v>
      </c>
      <c r="I47" s="26">
        <f>'Cash Flow Analysis'!E22</f>
        <v>166605.4428576653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10504.697872330942</v>
      </c>
      <c r="E49" s="25">
        <f t="shared" ref="E49:H49" si="16">E40-E47</f>
        <v>10526.025437990756</v>
      </c>
      <c r="F49" s="25">
        <f t="shared" si="16"/>
        <v>10547.35300365058</v>
      </c>
      <c r="G49" s="25">
        <f t="shared" si="16"/>
        <v>10568.680569310394</v>
      </c>
      <c r="H49" s="25">
        <f t="shared" si="16"/>
        <v>-80936.19468893086</v>
      </c>
      <c r="I49" s="45">
        <f>'Cash Flow Analysis'!E24</f>
        <v>124146.27546219336</v>
      </c>
      <c r="J49" s="30"/>
    </row>
    <row r="50" spans="3:10">
      <c r="C50" s="42" t="s">
        <v>6</v>
      </c>
      <c r="D50" s="25">
        <f>J25+D49</f>
        <v>173440.41114017263</v>
      </c>
      <c r="E50" s="25">
        <f>D50+E49</f>
        <v>183966.43657816338</v>
      </c>
      <c r="F50" s="25">
        <f t="shared" ref="F50:H50" si="17">E50+F49</f>
        <v>194513.78958181397</v>
      </c>
      <c r="G50" s="25">
        <f t="shared" si="17"/>
        <v>205082.47015112435</v>
      </c>
      <c r="H50" s="25">
        <f t="shared" si="17"/>
        <v>124146.27546219349</v>
      </c>
      <c r="I50" s="45">
        <f>'Cash Flow Analysis'!E25</f>
        <v>124146.27546219336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51308.96773276545</v>
      </c>
      <c r="E58" s="48">
        <f>'Expanded Profit and Loss'!D84+'Expanded Profit and Loss'!D83</f>
        <v>51357.379139887613</v>
      </c>
      <c r="F58" s="48">
        <f>'Expanded Profit and Loss'!E84+'Expanded Profit and Loss'!E83</f>
        <v>51406.88799351854</v>
      </c>
      <c r="G58" s="48">
        <f>'Expanded Profit and Loss'!F84+'Expanded Profit and Loss'!F83</f>
        <v>51457.519171861772</v>
      </c>
      <c r="H58" s="46">
        <f>'Cash Flow Analysis'!F6</f>
        <v>205530.75403803337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53858.96773276545</v>
      </c>
      <c r="E67" s="48">
        <f t="shared" ref="E67:G67" si="19">E58+E64</f>
        <v>53907.379139887613</v>
      </c>
      <c r="F67" s="48">
        <f t="shared" si="19"/>
        <v>53956.88799351854</v>
      </c>
      <c r="G67" s="48">
        <f t="shared" si="19"/>
        <v>54007.519171861772</v>
      </c>
      <c r="H67" s="27">
        <f>'Cash Flow Analysis'!F15</f>
        <v>215730.75403803337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2135.5613424748135</v>
      </c>
      <c r="E70" s="50">
        <f>SUM('Loan Amortization Table'!C29:C31)</f>
        <v>2183.972749596981</v>
      </c>
      <c r="F70" s="50">
        <f>SUM('Loan Amortization Table'!C32:C34)</f>
        <v>2233.4816032279109</v>
      </c>
      <c r="G70" s="50">
        <f>SUM('Loan Amortization Table'!C35:C37)</f>
        <v>2284.1127815711347</v>
      </c>
      <c r="H70" s="32">
        <f>'Cash Flow Analysis'!F18</f>
        <v>8837.1284768708392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10276.537701901669</v>
      </c>
      <c r="E72" s="50">
        <v>0</v>
      </c>
      <c r="F72" s="50">
        <v>0</v>
      </c>
      <c r="G72" s="50">
        <v>0</v>
      </c>
      <c r="H72" s="32">
        <f>'Cash Flow Analysis'!F20</f>
        <v>10276.537701901669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143871.52782662335</v>
      </c>
      <c r="H73" s="13">
        <f>'Cash Flow Analysis'!F21</f>
        <v>143871.52782662335</v>
      </c>
    </row>
    <row r="74" spans="3:8">
      <c r="C74" s="37" t="s">
        <v>26</v>
      </c>
      <c r="D74" s="51">
        <f>SUM(D70:D73)</f>
        <v>14197.099044376482</v>
      </c>
      <c r="E74" s="51">
        <f t="shared" ref="E74:G74" si="20">SUM(E70:E73)</f>
        <v>3968.972749596981</v>
      </c>
      <c r="F74" s="51">
        <f t="shared" si="20"/>
        <v>4018.4816032279109</v>
      </c>
      <c r="G74" s="51">
        <f t="shared" si="20"/>
        <v>147940.64060819449</v>
      </c>
      <c r="H74" s="34">
        <f>'Cash Flow Analysis'!F22</f>
        <v>170125.19400539587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39661.868688388968</v>
      </c>
      <c r="E76" s="52">
        <f t="shared" ref="E76:G76" si="21">E67-E74</f>
        <v>49938.406390290635</v>
      </c>
      <c r="F76" s="52">
        <f t="shared" si="21"/>
        <v>49938.406390290627</v>
      </c>
      <c r="G76" s="52">
        <f t="shared" si="21"/>
        <v>-93933.121436332716</v>
      </c>
      <c r="H76" s="40">
        <f>'Cash Flow Analysis'!F24</f>
        <v>45605.560032637499</v>
      </c>
    </row>
    <row r="77" spans="3:8">
      <c r="C77" s="42" t="s">
        <v>6</v>
      </c>
      <c r="D77" s="52">
        <f>I50+D76</f>
        <v>163808.14415058232</v>
      </c>
      <c r="E77" s="52">
        <f>D77+E76</f>
        <v>213746.55054087297</v>
      </c>
      <c r="F77" s="52">
        <f t="shared" ref="F77:G77" si="22">E77+F76</f>
        <v>263684.95693116362</v>
      </c>
      <c r="G77" s="52">
        <f t="shared" si="22"/>
        <v>169751.83549483091</v>
      </c>
      <c r="H77" s="40">
        <f>'Cash Flow Analysis'!F25</f>
        <v>169751.83549483086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67783.074684633932</v>
      </c>
      <c r="E84" s="48">
        <f>'Expanded Profit and Loss'!D114+'Expanded Profit and Loss'!D113</f>
        <v>67836.02741567012</v>
      </c>
      <c r="F84" s="48">
        <f>'Expanded Profit and Loss'!E114+'Expanded Profit and Loss'!E113</f>
        <v>67890.180541267415</v>
      </c>
      <c r="G84" s="48">
        <f>'Expanded Profit and Loss'!F114+'Expanded Profit and Loss'!F113</f>
        <v>67945.561273376443</v>
      </c>
      <c r="H84" s="27">
        <f>'Cash Flow Analysis'!G6</f>
        <v>271454.84391494794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70384.074684633932</v>
      </c>
      <c r="E93" s="48">
        <f t="shared" ref="E93:G93" si="24">E90+E84</f>
        <v>70437.02741567012</v>
      </c>
      <c r="F93" s="48">
        <f t="shared" si="24"/>
        <v>70491.180541267415</v>
      </c>
      <c r="G93" s="48">
        <f t="shared" si="24"/>
        <v>70546.561273376443</v>
      </c>
      <c r="H93" s="27">
        <f>'Cash Flow Analysis'!G15</f>
        <v>281858.84391494794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2335.8917267984552</v>
      </c>
      <c r="E96" s="50">
        <f>SUM('Loan Amortization Table'!C41:C43)</f>
        <v>2388.8444578346393</v>
      </c>
      <c r="F96" s="50">
        <f>SUM('Loan Amortization Table'!C44:C46)</f>
        <v>2442.9975834319343</v>
      </c>
      <c r="G96" s="50">
        <f>SUM('Loan Amortization Table'!C47:C49)</f>
        <v>2498.3783155409624</v>
      </c>
      <c r="H96" s="32">
        <f>'Cash Flow Analysis'!G18</f>
        <v>9666.1120836059927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13572.742195747398</v>
      </c>
      <c r="E98" s="50">
        <v>0</v>
      </c>
      <c r="F98" s="50">
        <v>0</v>
      </c>
      <c r="G98" s="50">
        <v>0</v>
      </c>
      <c r="H98" s="32">
        <f>'Cash Flow Analysis'!G20</f>
        <v>13572.742195747398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190018.39074046354</v>
      </c>
      <c r="H99" s="13">
        <f>'Cash Flow Analysis'!G21</f>
        <v>190018.39074046354</v>
      </c>
    </row>
    <row r="100" spans="3:8">
      <c r="C100" s="37" t="s">
        <v>26</v>
      </c>
      <c r="D100" s="51">
        <f>SUM(D96:D99)</f>
        <v>17729.333922545855</v>
      </c>
      <c r="E100" s="51">
        <f t="shared" ref="E100:G100" si="26">SUM(E96:E99)</f>
        <v>4209.5444578346396</v>
      </c>
      <c r="F100" s="51">
        <f t="shared" si="26"/>
        <v>4263.6975834319346</v>
      </c>
      <c r="G100" s="51">
        <f t="shared" si="26"/>
        <v>194337.46905600451</v>
      </c>
      <c r="H100" s="34">
        <f>'Cash Flow Analysis'!G22</f>
        <v>220540.04501981693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52654.740762088077</v>
      </c>
      <c r="E102" s="52">
        <f t="shared" ref="E102:G102" si="27">E93-E100</f>
        <v>66227.482957835484</v>
      </c>
      <c r="F102" s="52">
        <f t="shared" si="27"/>
        <v>66227.482957835484</v>
      </c>
      <c r="G102" s="52">
        <f t="shared" si="27"/>
        <v>-123790.90778262807</v>
      </c>
      <c r="H102" s="40">
        <f>'Cash Flow Analysis'!G24</f>
        <v>61318.798895131011</v>
      </c>
    </row>
    <row r="103" spans="3:8">
      <c r="C103" s="42" t="s">
        <v>6</v>
      </c>
      <c r="D103" s="52">
        <f>G77+D102</f>
        <v>222406.57625691898</v>
      </c>
      <c r="E103" s="52">
        <f>D103+E102</f>
        <v>288634.0592147545</v>
      </c>
      <c r="F103" s="52">
        <f t="shared" ref="F103:G103" si="28">E103+F102</f>
        <v>354861.54217258998</v>
      </c>
      <c r="G103" s="52">
        <f t="shared" si="28"/>
        <v>231070.6343899619</v>
      </c>
      <c r="H103" s="40">
        <f>'Cash Flow Analysis'!G25</f>
        <v>231070.63438996187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2025-10-04T19:20:04Z</dcterms:modified>
</cp:coreProperties>
</file>