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Appliance Repair\"/>
    </mc:Choice>
  </mc:AlternateContent>
  <xr:revisionPtr revIDLastSave="0" documentId="13_ncr:1_{0CEC6FAD-51F6-4C69-8DC3-ECEF113612A7}" xr6:coauthVersionLast="47" xr6:coauthVersionMax="47" xr10:uidLastSave="{00000000-0000-0000-0000-000000000000}"/>
  <bookViews>
    <workbookView xWindow="-289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4" i="23"/>
  <c r="C33" i="23"/>
  <c r="H8" i="14"/>
  <c r="G8" i="14"/>
  <c r="J8" i="9"/>
  <c r="J9" i="9"/>
  <c r="J10" i="9"/>
  <c r="J11" i="9"/>
  <c r="J12" i="9"/>
  <c r="J13" i="9"/>
  <c r="J14" i="9"/>
  <c r="J15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36" i="12" l="1"/>
  <c r="H37" i="12" s="1"/>
  <c r="E36" i="12"/>
  <c r="E37" i="12" s="1"/>
  <c r="E34" i="23"/>
  <c r="D34" i="23"/>
  <c r="D53" i="23" s="1"/>
  <c r="E53" i="23"/>
  <c r="D33" i="23"/>
  <c r="D52" i="23" s="1"/>
  <c r="L35" i="7"/>
  <c r="D51" i="23"/>
  <c r="D56" i="23"/>
  <c r="D57" i="23"/>
  <c r="D59" i="23"/>
  <c r="C52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G19" i="11" l="1"/>
  <c r="F33" i="23"/>
  <c r="F52" i="23" s="1"/>
  <c r="F34" i="23"/>
  <c r="C61" i="23"/>
  <c r="C7" i="11" s="1"/>
  <c r="E61" i="23"/>
  <c r="E7" i="11" s="1"/>
  <c r="C42" i="11"/>
  <c r="F26" i="9"/>
  <c r="F42" i="11"/>
  <c r="D61" i="23"/>
  <c r="D7" i="11" s="1"/>
  <c r="F28" i="9"/>
  <c r="F25" i="9"/>
  <c r="F29" i="9"/>
  <c r="D42" i="11"/>
  <c r="F30" i="9"/>
  <c r="F27" i="9"/>
  <c r="F24" i="9"/>
  <c r="D4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33" i="23" l="1"/>
  <c r="G34" i="23"/>
  <c r="G53" i="23" s="1"/>
  <c r="F53" i="23"/>
  <c r="G51" i="23"/>
  <c r="E66" i="23"/>
  <c r="F42" i="23"/>
  <c r="F6" i="11" s="1"/>
  <c r="D6" i="11"/>
  <c r="D66" i="23"/>
  <c r="F61" i="23"/>
  <c r="F7" i="11" s="1"/>
  <c r="H32" i="23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H33" i="23" l="1"/>
  <c r="H34" i="23"/>
  <c r="H53" i="23" s="1"/>
  <c r="F66" i="23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33" i="23" l="1"/>
  <c r="I34" i="23"/>
  <c r="I53" i="23" s="1"/>
  <c r="I51" i="23"/>
  <c r="H42" i="23"/>
  <c r="H6" i="11" s="1"/>
  <c r="H61" i="23"/>
  <c r="H7" i="11" s="1"/>
  <c r="G61" i="23"/>
  <c r="G7" i="11" s="1"/>
  <c r="G6" i="11"/>
  <c r="J32" i="23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J33" i="23" l="1"/>
  <c r="J52" i="23" s="1"/>
  <c r="J34" i="23"/>
  <c r="J53" i="23" s="1"/>
  <c r="G66" i="23"/>
  <c r="H66" i="23"/>
  <c r="J51" i="23"/>
  <c r="I42" i="23"/>
  <c r="I52" i="23"/>
  <c r="K32" i="23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K33" i="23" l="1"/>
  <c r="K34" i="23"/>
  <c r="J42" i="23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K53" i="23" l="1"/>
  <c r="L33" i="23"/>
  <c r="L34" i="23"/>
  <c r="L53" i="23" s="1"/>
  <c r="L51" i="23"/>
  <c r="L52" i="23"/>
  <c r="K61" i="23"/>
  <c r="D35" i="11" s="1"/>
  <c r="J66" i="23"/>
  <c r="K42" i="23"/>
  <c r="D34" i="11" s="1"/>
  <c r="I66" i="23"/>
  <c r="M32" i="23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M33" i="23" l="1"/>
  <c r="M34" i="23"/>
  <c r="M53" i="23" s="1"/>
  <c r="L61" i="23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33" i="23" l="1"/>
  <c r="N34" i="23"/>
  <c r="N51" i="23"/>
  <c r="F21" i="9" s="1"/>
  <c r="M42" i="23"/>
  <c r="F34" i="11" s="1"/>
  <c r="L66" i="23"/>
  <c r="M61" i="23"/>
  <c r="F35" i="11" s="1"/>
  <c r="F6" i="9"/>
  <c r="G30" i="9"/>
  <c r="G15" i="9"/>
  <c r="G27" i="9"/>
  <c r="G12" i="9"/>
  <c r="C36" i="11"/>
  <c r="C19" i="8"/>
  <c r="I18" i="12" s="1"/>
  <c r="I22" i="12" s="1"/>
  <c r="A24" i="8"/>
  <c r="B23" i="8"/>
  <c r="N53" i="23" l="1"/>
  <c r="F23" i="9" s="1"/>
  <c r="G23" i="9" s="1"/>
  <c r="F8" i="9"/>
  <c r="G8" i="9" s="1"/>
  <c r="H8" i="9" s="1"/>
  <c r="M66" i="23"/>
  <c r="F7" i="9"/>
  <c r="N52" i="23"/>
  <c r="N42" i="23"/>
  <c r="G6" i="9"/>
  <c r="G21" i="9"/>
  <c r="E38" i="11"/>
  <c r="G13" i="9"/>
  <c r="H23" i="9"/>
  <c r="H12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<sst xmlns="http://schemas.openxmlformats.org/spreadsheetml/2006/main" count="326" uniqueCount="144">
  <si>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</si>
  <si>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</si>
  <si>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</si>
  <si>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</si>
  <si>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</si>
  <si>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</si>
  <si>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</si>
  <si>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</si>
  <si>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</si>
  <si>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</si>
  <si>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</si>
  <si>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</si>
  <si>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</si>
  <si>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</si>
  <si>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</si>
  <si>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</si>
  <si>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</si>
  <si>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</si>
  <si>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</si>
  <si>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</si>
  <si>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</si>
  <si>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</si>
  <si>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</si>
  <si>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</si>
  <si>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</si>
  <si>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</si>
  <si>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</si>
  <si>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</si>
  <si>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</si>
  <si>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</si>
  <si>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</si>
  <si>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</si>
  <si>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</si>
  <si>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</si>
  <si>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</si>
  <si>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</si>
  <si>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</si>
  <si>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</si>
  <si>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</si>
  <si>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</si>
  <si>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</si>
  <si>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</si>
  <si>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</si>
  <si>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</si>
  <si>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</si>
  <si>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</si>
  <si>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</si>
  <si>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</si>
  <si>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</si>
  <si>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</si>
  <si>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</si>
  <si>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</si>
  <si>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</si>
  <si>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</si>
  <si>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</si>
  <si>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</si>
  <si>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</si>
  <si>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</si>
  <si>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</si>
  <si>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</si>
  <si>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</si>
  <si>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</si>
  <si>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</si>
  <si>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</si>
  <si>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</si>
  <si>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</si>
  <si>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</si>
  <si>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</si>
  <si>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</si>
  <si>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</si>
  <si>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</si>
  <si>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</si>
  <si>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</si>
  <si>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</si>
  <si>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</si>
  <si>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</si>
  <si>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</si>
  <si>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</si>
  <si>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</si>
  <si>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</si>
  <si>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</si>
  <si>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</si>
  <si>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</si>
  <si>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</si>
  <si>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</si>
  <si>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</si>
  <si>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</si>
  <si>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</si>
  <si>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</si>
  <si>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</si>
  <si>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</si>
  <si>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</si>
  <si>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</si>
  <si>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</si>
  <si>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</si>
  <si>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</si>
  <si>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</si>
  <si>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</si>
  <si>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</si>
  <si>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</si>
  <si>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</si>
  <si>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</si>
  <si>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</si>
  <si>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</si>
  <si>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</si>
  <si>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</si>
  <si>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</si>
  <si>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</si>
  <si>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</si>
  <si>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</si>
  <si>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</si>
  <si>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</si>
  <si>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</si>
  <si>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</si>
  <si>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</si>
  <si>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</si>
  <si>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</si>
  <si>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</si>
  <si>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</si>
  <si>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</si>
  <si>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</si>
  <si>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</si>
  <si>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</si>
  <si>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</si>
  <si>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</si>
  <si>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</si>
  <si>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Accountant</t>
  </si>
  <si>
    <t>Administrative Staff</t>
  </si>
  <si>
    <t>Technicians</t>
  </si>
  <si>
    <t>Appliance Repair Services</t>
  </si>
  <si>
    <t>Part Sales</t>
  </si>
  <si>
    <t>Vehicles</t>
  </si>
  <si>
    <t>Repair Equipment</t>
  </si>
  <si>
    <t>General FF&amp;E</t>
  </si>
  <si>
    <t>Professional Fees</t>
  </si>
  <si>
    <t>Website Development</t>
  </si>
  <si>
    <t>Misc. Costs</t>
  </si>
  <si>
    <t>Appliance Sales</t>
  </si>
  <si>
    <t>CompleteBizPlans</t>
  </si>
  <si>
    <t>Postion 7</t>
  </si>
  <si>
    <t>Postion 8</t>
  </si>
  <si>
    <t>Postion 9</t>
  </si>
  <si>
    <t xml:space="preserve"> 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</si>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</sst>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152857.5853999152</c:v>
                </c:pt>
                <c:pt idx="1">
                  <c:v>248674.27946241997</c:v>
                </c:pt>
                <c:pt idx="2">
                  <c:v>333156.85963450873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4847.5440202585251</c:v>
                </c:pt>
                <c:pt idx="1">
                  <c:v>5302.2770861225017</c:v>
                </c:pt>
                <c:pt idx="2">
                  <c:v>5799.6672501635931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107000.30977994064</c:v>
                </c:pt>
                <c:pt idx="1">
                  <c:v>174071.99562369398</c:v>
                </c:pt>
                <c:pt idx="2">
                  <c:v>233209.80174415608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152857.5853999152</c:v>
                </c:pt>
                <c:pt idx="1">
                  <c:v>248674.27946241997</c:v>
                </c:pt>
                <c:pt idx="2">
                  <c:v>333156.85963450873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5C6-4344-BBC5-2EC90D7E5283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5C6-4344-BBC5-2EC90D7E528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107000.30977994064</c:v>
                </c:pt>
                <c:pt idx="1">
                  <c:v>174071.99562369398</c:v>
                </c:pt>
                <c:pt idx="2">
                  <c:v>233209.80174415608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126161.83159971604</c:v>
                </c:pt>
                <c:pt idx="1">
                  <c:v>70904.555979741504</c:v>
                </c:pt>
                <c:pt idx="2">
                  <c:v>55257.275619974534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190628.98035231954</c:v>
                </c:pt>
                <c:pt idx="1">
                  <c:v>66369.420893618997</c:v>
                </c:pt>
                <c:pt idx="2">
                  <c:v>124259.55945870055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279958.85583250859</c:v>
                </c:pt>
                <c:pt idx="1">
                  <c:v>61352.238483455403</c:v>
                </c:pt>
                <c:pt idx="2">
                  <c:v>218606.61734905318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126161.83159971604</c:v>
                </c:pt>
                <c:pt idx="1">
                  <c:v>190628.98035231954</c:v>
                </c:pt>
                <c:pt idx="2">
                  <c:v>279958.85583250859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6-4FF7-B93A-A92378CC02BA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70904.555979741504</c:v>
                </c:pt>
                <c:pt idx="1">
                  <c:v>66369.420893618997</c:v>
                </c:pt>
                <c:pt idx="2">
                  <c:v>61352.238483455403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6-4FF7-B93A-A92378CC02BA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55257.275619974534</c:v>
                </c:pt>
                <c:pt idx="1">
                  <c:v>124259.55945870055</c:v>
                </c:pt>
                <c:pt idx="2">
                  <c:v>218606.61734905318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6-4FF7-B93A-A92378CC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052479"/>
        <c:axId val="675500495"/>
      </c:barChart>
      <c:catAx>
        <c:axId val="5760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500495"/>
        <c:crosses val="autoZero"/>
        <c:auto val="1"/>
        <c:lblAlgn val="ctr"/>
        <c:lblOffset val="100"/>
        <c:noMultiLvlLbl val="0"/>
      </c:catAx>
      <c:valAx>
        <c:axId val="67550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5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695817.51555583265</c:v>
                </c:pt>
                <c:pt idx="1">
                  <c:v>726115.23952630453</c:v>
                </c:pt>
                <c:pt idx="2">
                  <c:v>756452.52142764558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695817.51555583265</c:v>
                </c:pt>
                <c:pt idx="1">
                  <c:v>726115.23952630453</c:v>
                </c:pt>
                <c:pt idx="2">
                  <c:v>756452.52142764558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959355.6</c:v>
                </c:pt>
                <c:pt idx="1">
                  <c:v>1151226.72</c:v>
                </c:pt>
                <c:pt idx="2">
                  <c:v>1323910.7279999999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587521.10524000006</c:v>
                </c:pt>
                <c:pt idx="1">
                  <c:v>613103.31878800003</c:v>
                </c:pt>
                <c:pt idx="2">
                  <c:v>638718.93350619997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222521.25475999992</c:v>
                </c:pt>
                <c:pt idx="1">
                  <c:v>358947.5132119999</c:v>
                </c:pt>
                <c:pt idx="2">
                  <c:v>479139.52329379984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959355.6</c:v>
                </c:pt>
                <c:pt idx="1">
                  <c:v>1151226.72</c:v>
                </c:pt>
                <c:pt idx="2">
                  <c:v>1323910.7279999999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1.129694995022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4351676914172132E-2"/>
                  <c:y val="6.901212779437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222521.25475999992</c:v>
                </c:pt>
                <c:pt idx="1">
                  <c:v>358947.5132119999</c:v>
                </c:pt>
                <c:pt idx="2">
                  <c:v>479139.52329379984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2191400832177462E-2"/>
                  <c:y val="-8.513666395148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587521.10524000006</c:v>
                </c:pt>
                <c:pt idx="1">
                  <c:v>613103.31878800003</c:v>
                </c:pt>
                <c:pt idx="2">
                  <c:v>638718.93350619997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287-4CAE-B2A6-EE529C420A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Overview'!$J$6:$J$8</c:f>
              <c:strCache>
                <c:ptCount val="3"/>
                <c:pt idx="0">
                  <c:v>Appliance Repair Services</c:v>
                </c:pt>
                <c:pt idx="1">
                  <c:v>Part Sales</c:v>
                </c:pt>
                <c:pt idx="2">
                  <c:v>Appliance Sales</c:v>
                </c:pt>
              </c:strCache>
            </c:strRef>
          </c:cat>
          <c:val>
            <c:numRef>
              <c:f>'Revenue Overview'!$K$6:$K$8</c:f>
              <c:numCache>
                <c:formatCode>0%</c:formatCode>
                <c:ptCount val="3"/>
                <c:pt idx="0">
                  <c:v>0.75187969924812037</c:v>
                </c:pt>
                <c:pt idx="1">
                  <c:v>6.0150375939849621E-2</c:v>
                </c:pt>
                <c:pt idx="2">
                  <c:v>0.18796992481203009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126161.83159971604</c:v>
                </c:pt>
                <c:pt idx="1">
                  <c:v>190628.98035231954</c:v>
                </c:pt>
                <c:pt idx="2">
                  <c:v>279958.85583250859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6-44D4-AEE0-64DD14ACBF5B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70904.555979741504</c:v>
                </c:pt>
                <c:pt idx="1">
                  <c:v>66369.420893618997</c:v>
                </c:pt>
                <c:pt idx="2">
                  <c:v>61352.238483455403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6-44D4-AEE0-64DD14ACBF5B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55257.275619974534</c:v>
                </c:pt>
                <c:pt idx="1">
                  <c:v>124259.55945870055</c:v>
                </c:pt>
                <c:pt idx="2">
                  <c:v>218606.61734905318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6-44D4-AEE0-64DD14AC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052479"/>
        <c:axId val="675500495"/>
      </c:barChart>
      <c:catAx>
        <c:axId val="5760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500495"/>
        <c:crosses val="autoZero"/>
        <c:auto val="1"/>
        <c:lblAlgn val="ctr"/>
        <c:lblOffset val="100"/>
        <c:noMultiLvlLbl val="0"/>
      </c:catAx>
      <c:valAx>
        <c:axId val="67550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5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Technicians</c:v>
                </c:pt>
                <c:pt idx="3">
                  <c:v>Accountant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0.21390374331550802</c:v>
                </c:pt>
                <c:pt idx="1">
                  <c:v>0.16042780748663102</c:v>
                </c:pt>
                <c:pt idx="2">
                  <c:v>0.44919786096256686</c:v>
                </c:pt>
                <c:pt idx="3">
                  <c:v>8.0213903743315509E-2</c:v>
                </c:pt>
                <c:pt idx="4">
                  <c:v>9.6256684491978606E-2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Appliance Repair Services</c:v>
                </c:pt>
                <c:pt idx="1">
                  <c:v>Part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0.75187969924812037</c:v>
                </c:pt>
                <c:pt idx="1">
                  <c:v>6.0150375939849621E-2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7FA-4CAD-B258-C37597A7EE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7FA-4CAD-B258-C37597A7EE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7FA-4CAD-B258-C37597A7EE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Funds'!$D$6:$D$12</c:f>
              <c:strCache>
                <c:ptCount val="7"/>
                <c:pt idx="0">
                  <c:v>Vehicles</c:v>
                </c:pt>
                <c:pt idx="1">
                  <c:v>Repair Equipment</c:v>
                </c:pt>
                <c:pt idx="2">
                  <c:v>General FF&amp;E</c:v>
                </c:pt>
                <c:pt idx="3">
                  <c:v>Working Capital</c:v>
                </c:pt>
                <c:pt idx="4">
                  <c:v>Professional Fees</c:v>
                </c:pt>
                <c:pt idx="5">
                  <c:v>Website Development</c:v>
                </c:pt>
                <c:pt idx="6">
                  <c:v>Misc. Costs</c:v>
                </c:pt>
              </c:strCache>
            </c:strRef>
          </c:cat>
          <c:val>
            <c:numRef>
              <c:f>'Use of Funds'!$E$6:$E$12</c:f>
              <c:numCache>
                <c:formatCode>"$"#,##0</c:formatCode>
                <c:ptCount val="7"/>
                <c:pt idx="0">
                  <c:v>35000</c:v>
                </c:pt>
                <c:pt idx="1">
                  <c:v>10000</c:v>
                </c:pt>
                <c:pt idx="2">
                  <c:v>7500</c:v>
                </c:pt>
                <c:pt idx="3">
                  <c:v>42500</c:v>
                </c:pt>
                <c:pt idx="4">
                  <c:v>2500</c:v>
                </c:pt>
                <c:pt idx="5">
                  <c:v>1000</c:v>
                </c:pt>
                <c:pt idx="6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959355.6</c:v>
                </c:pt>
                <c:pt idx="1">
                  <c:v>1151226.72</c:v>
                </c:pt>
                <c:pt idx="2">
                  <c:v>1323910.7279999999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587521.10524000006</c:v>
                </c:pt>
                <c:pt idx="1">
                  <c:v>613103.31878800003</c:v>
                </c:pt>
                <c:pt idx="2">
                  <c:v>638718.93350619997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222521.25475999992</c:v>
                </c:pt>
                <c:pt idx="1">
                  <c:v>358947.5132119999</c:v>
                </c:pt>
                <c:pt idx="2">
                  <c:v>479139.52329379984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959355.6</c:v>
                </c:pt>
                <c:pt idx="1">
                  <c:v>1151226.72</c:v>
                </c:pt>
                <c:pt idx="2">
                  <c:v>1323910.7279999999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222521.25475999992</c:v>
                </c:pt>
                <c:pt idx="1">
                  <c:v>358947.5132119999</c:v>
                </c:pt>
                <c:pt idx="2">
                  <c:v>479139.52329379984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587521.10524000006</c:v>
                </c:pt>
                <c:pt idx="1">
                  <c:v>613103.31878800003</c:v>
                </c:pt>
                <c:pt idx="2">
                  <c:v>638718.93350619997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152857.5853999152</c:v>
                </c:pt>
                <c:pt idx="1">
                  <c:v>248674.27946241997</c:v>
                </c:pt>
                <c:pt idx="2">
                  <c:v>333156.85963450873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4847.5440202585251</c:v>
                </c:pt>
                <c:pt idx="1">
                  <c:v>5302.2770861225017</c:v>
                </c:pt>
                <c:pt idx="2">
                  <c:v>5799.6672501635931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107000.30977994064</c:v>
                </c:pt>
                <c:pt idx="1">
                  <c:v>174071.99562369398</c:v>
                </c:pt>
                <c:pt idx="2">
                  <c:v>233209.80174415608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152857.5853999152</c:v>
                </c:pt>
                <c:pt idx="1">
                  <c:v>248674.27946241997</c:v>
                </c:pt>
                <c:pt idx="2">
                  <c:v>333156.85963450873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395-4EBC-BAC7-560BDDC0633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395-4EBC-BAC7-560BDDC0633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107000.30977994064</c:v>
                </c:pt>
                <c:pt idx="1">
                  <c:v>174071.99562369398</c:v>
                </c:pt>
                <c:pt idx="2">
                  <c:v>233209.80174415608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571500</xdr:colOff>
      <xdr:row>1</xdr:row>
      <xdr:rowOff>142875</xdr:rowOff>
    </xdr:from>
    <xdr:to>
      <xdr:col>21</xdr:col>
      <xdr:colOff>200024</xdr:colOff>
      <xdr:row>12</xdr:row>
      <xdr:rowOff>152398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80A70-8D36-462E-AF33-D82E72DAD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419100</xdr:colOff>
      <xdr:row>28</xdr:row>
      <xdr:rowOff>171450</xdr:rowOff>
    </xdr:from>
    <xdr:to>
      <xdr:col>21</xdr:col>
      <xdr:colOff>200025</xdr:colOff>
      <xdr:row>39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DB83BB-08BD-420A-996E-58136F98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5505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390525</xdr:colOff>
      <xdr:row>1</xdr:row>
      <xdr:rowOff>152400</xdr:rowOff>
    </xdr:from>
    <xdr:to>
      <xdr:col>22</xdr:col>
      <xdr:colOff>171450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4CF18-57C5-43CC-BB6C-464B45FA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3429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361950</xdr:colOff>
      <xdr:row>1</xdr:row>
      <xdr:rowOff>171450</xdr:rowOff>
    </xdr:from>
    <xdr:to>
      <xdr:col>26</xdr:col>
      <xdr:colOff>142875</xdr:colOff>
      <xdr:row>12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4C98F-3FE7-41B0-BD13-5E13CF99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3619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571500</xdr:colOff>
      <xdr:row>1</xdr:row>
      <xdr:rowOff>123825</xdr:rowOff>
    </xdr:from>
    <xdr:to>
      <xdr:col>25</xdr:col>
      <xdr:colOff>352425</xdr:colOff>
      <xdr:row>12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63BCDD-0C06-49EA-8455-5544057F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3143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466725</xdr:colOff>
      <xdr:row>1</xdr:row>
      <xdr:rowOff>57150</xdr:rowOff>
    </xdr:from>
    <xdr:to>
      <xdr:col>26</xdr:col>
      <xdr:colOff>247650</xdr:colOff>
      <xdr:row>12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71822-2693-4336-A398-B12F00DE8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2476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133350</xdr:colOff>
      <xdr:row>3</xdr:row>
      <xdr:rowOff>137582</xdr:rowOff>
    </xdr:from>
    <xdr:to>
      <xdr:col>5</xdr:col>
      <xdr:colOff>838200</xdr:colOff>
      <xdr:row>14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038A96-C1D1-4E6F-A46B-F62EDE88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709082"/>
          <a:ext cx="2771775" cy="2053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247650</xdr:colOff>
      <xdr:row>16</xdr:row>
      <xdr:rowOff>152400</xdr:rowOff>
    </xdr:from>
    <xdr:to>
      <xdr:col>12</xdr:col>
      <xdr:colOff>542925</xdr:colOff>
      <xdr:row>27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1E6AD6-90BB-44A5-8DB2-FE10D465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200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533400</xdr:colOff>
      <xdr:row>0</xdr:row>
      <xdr:rowOff>0</xdr:rowOff>
    </xdr:from>
    <xdr:to>
      <xdr:col>26</xdr:col>
      <xdr:colOff>314325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2AD748-F556-4CBA-8BDF-E6A69D627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581025</xdr:colOff>
      <xdr:row>1</xdr:row>
      <xdr:rowOff>142875</xdr:rowOff>
    </xdr:from>
    <xdr:to>
      <xdr:col>24</xdr:col>
      <xdr:colOff>361950</xdr:colOff>
      <xdr:row>12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848DB2-3AB9-4C5A-826D-BBEAD271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3333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523875</xdr:colOff>
      <xdr:row>1</xdr:row>
      <xdr:rowOff>104775</xdr:rowOff>
    </xdr:from>
    <xdr:to>
      <xdr:col>24</xdr:col>
      <xdr:colOff>304800</xdr:colOff>
      <xdr:row>12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48F32-A6DF-414F-A5DD-996E11DF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2952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4</xdr:row>
      <xdr:rowOff>52387</xdr:rowOff>
    </xdr:from>
    <xdr:to>
      <xdr:col>14</xdr:col>
      <xdr:colOff>266700</xdr:colOff>
      <xdr:row>18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CCF3D0-522A-6964-9541-DF6A2C980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590550</xdr:colOff>
      <xdr:row>1</xdr:row>
      <xdr:rowOff>0</xdr:rowOff>
    </xdr:from>
    <xdr:to>
      <xdr:col>24</xdr:col>
      <xdr:colOff>371475</xdr:colOff>
      <xdr:row>12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33A92-5A23-4FE5-A5E1-0E6F8ECA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333375</xdr:colOff>
      <xdr:row>1</xdr:row>
      <xdr:rowOff>133350</xdr:rowOff>
    </xdr:from>
    <xdr:to>
      <xdr:col>26</xdr:col>
      <xdr:colOff>114300</xdr:colOff>
      <xdr:row>12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2990C-E87E-4A3E-A294-EA9C113EB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3238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152400</xdr:colOff>
      <xdr:row>0</xdr:row>
      <xdr:rowOff>0</xdr:rowOff>
    </xdr:from>
    <xdr:to>
      <xdr:col>26</xdr:col>
      <xdr:colOff>542925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B7426-5F0D-4608-98C9-8E177D87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V66"/>
  <sheetViews>
    <sheetView showGridLines="0" tabSelected="1" topLeftCell="A3" workbookViewId="0">
      <selection activeCell="B3" sqref="B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110</v>
      </c>
      <c r="C4" s="147" t="s">
        <v>57</v>
      </c>
      <c r="D4" s="147" t="s">
        <v>10</v>
      </c>
      <c r="E4" s="147" t="s">
        <v>8</v>
      </c>
    </row>
    <row r="5" spans="2:5">
      <c r="B5" s="66" t="s">
        <v>129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130</v>
      </c>
      <c r="C6" s="148">
        <v>0.4</v>
      </c>
      <c r="D6" s="148">
        <v>0.6</v>
      </c>
      <c r="E6" s="148">
        <f t="shared" ref="E6:E12" si="0">C6+D6</f>
        <v>1</v>
      </c>
    </row>
    <row r="7" spans="2:5">
      <c r="B7" s="66" t="s">
        <v>137</v>
      </c>
      <c r="C7" s="148">
        <v>0.5</v>
      </c>
      <c r="D7" s="148">
        <v>0.5</v>
      </c>
      <c r="E7" s="148">
        <f t="shared" si="0"/>
        <v>1</v>
      </c>
    </row>
    <row r="8" spans="2:5">
      <c r="B8" s="66" t="s">
        <v>103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104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105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106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107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108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109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22">
      <c r="B17" s="147" t="s">
        <v>111</v>
      </c>
      <c r="C17" s="147">
        <v>1</v>
      </c>
      <c r="D17" s="147">
        <v>2</v>
      </c>
      <c r="E17" s="147">
        <v>3</v>
      </c>
    </row>
    <row r="18" spans="2:22">
      <c r="B18" s="70" t="s">
        <v>115</v>
      </c>
      <c r="C18" s="94">
        <v>12051</v>
      </c>
      <c r="D18" s="94">
        <f>C18*1.03</f>
        <v>12412.53</v>
      </c>
      <c r="E18" s="94">
        <f>D18*1.03</f>
        <v>12784.905900000002</v>
      </c>
    </row>
    <row r="19" spans="2:22">
      <c r="B19" s="70" t="s">
        <v>50</v>
      </c>
      <c r="C19" s="94">
        <f>'Profit and Loss Statement'!E6*0.0157</f>
        <v>15061.882919999998</v>
      </c>
      <c r="D19" s="94">
        <f>'Profit and Loss Statement'!F6*0.0157</f>
        <v>18074.259503999998</v>
      </c>
      <c r="E19" s="94">
        <f>'Profit and Loss Statement'!G6*0.0157</f>
        <v>20785.398429599998</v>
      </c>
    </row>
    <row r="20" spans="2:22">
      <c r="B20" s="70" t="s">
        <v>118</v>
      </c>
      <c r="C20" s="94">
        <f>'Profit and Loss Statement'!E6*0.0152</f>
        <v>14582.205119999999</v>
      </c>
      <c r="D20" s="94">
        <f>'Profit and Loss Statement'!F6*0.0152</f>
        <v>17498.646143999998</v>
      </c>
      <c r="E20" s="94">
        <f>'Profit and Loss Statement'!G6*0.0152</f>
        <v>20123.443065599997</v>
      </c>
    </row>
    <row r="21" spans="2:22">
      <c r="B21" s="70" t="s">
        <v>49</v>
      </c>
      <c r="C21" s="94">
        <f>'Personnel - Editable'!H16*0.06</f>
        <v>28050</v>
      </c>
      <c r="D21" s="94">
        <f>'Personnel - Editable'!I16*0.06</f>
        <v>28891.5</v>
      </c>
      <c r="E21" s="94">
        <f>'Personnel - Editable'!J16*0.06</f>
        <v>29758.244999999999</v>
      </c>
      <c r="F21" s="120"/>
      <c r="G21" s="120"/>
    </row>
    <row r="22" spans="2:22">
      <c r="B22" s="70" t="s">
        <v>116</v>
      </c>
      <c r="C22" s="94">
        <f>'Profit and Loss Statement'!E6*0.012</f>
        <v>11512.2672</v>
      </c>
      <c r="D22" s="94">
        <f>'Profit and Loss Statement'!F6*0.012</f>
        <v>13814.72064</v>
      </c>
      <c r="E22" s="94">
        <f>'Profit and Loss Statement'!G6*0.012</f>
        <v>15886.928736</v>
      </c>
      <c r="F22" s="1"/>
      <c r="G22" s="1"/>
    </row>
    <row r="23" spans="2:22">
      <c r="B23" s="70" t="s">
        <v>1</v>
      </c>
      <c r="C23" s="94">
        <v>3000</v>
      </c>
      <c r="D23" s="94">
        <f>C23*1.35</f>
        <v>4050.0000000000005</v>
      </c>
      <c r="E23" s="94">
        <f>D23*1.35</f>
        <v>5467.5000000000009</v>
      </c>
      <c r="F23" s="1"/>
      <c r="G23" s="1"/>
    </row>
    <row r="24" spans="2:22">
      <c r="F24" s="1"/>
      <c r="G24" s="1"/>
    </row>
    <row r="25" spans="2:22">
      <c r="F25" s="1"/>
      <c r="G25" s="1"/>
    </row>
    <row r="26" spans="2:22">
      <c r="E26" t="s">
        <v>142</v>
      </c>
    </row>
    <row r="30" spans="2:22">
      <c r="B30" s="149" t="s">
        <v>112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V30" s="112" t="s">
        <v>138</v>
      </c>
    </row>
    <row r="31" spans="2:22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22">
      <c r="B32" s="66" t="str">
        <f t="shared" ref="B32:B41" si="3">B5</f>
        <v>Appliance Repair Services</v>
      </c>
      <c r="C32" s="94">
        <v>60000</v>
      </c>
      <c r="D32" s="94">
        <f>C32+20</f>
        <v>60020</v>
      </c>
      <c r="E32" s="94">
        <f t="shared" ref="E32:N32" si="4">D32+20</f>
        <v>60040</v>
      </c>
      <c r="F32" s="94">
        <f t="shared" si="4"/>
        <v>60060</v>
      </c>
      <c r="G32" s="94">
        <f t="shared" si="4"/>
        <v>60080</v>
      </c>
      <c r="H32" s="94">
        <f t="shared" si="4"/>
        <v>60100</v>
      </c>
      <c r="I32" s="94">
        <f t="shared" si="4"/>
        <v>60120</v>
      </c>
      <c r="J32" s="94">
        <f t="shared" si="4"/>
        <v>60140</v>
      </c>
      <c r="K32" s="94">
        <f t="shared" si="4"/>
        <v>60160</v>
      </c>
      <c r="L32" s="94">
        <f t="shared" si="4"/>
        <v>60180</v>
      </c>
      <c r="M32" s="94">
        <f t="shared" si="4"/>
        <v>60200</v>
      </c>
      <c r="N32" s="94">
        <f t="shared" si="4"/>
        <v>60220</v>
      </c>
      <c r="Q32" s="112" t="s">
        <v>138</v>
      </c>
    </row>
    <row r="33" spans="2:18">
      <c r="B33" s="66" t="str">
        <f t="shared" si="3"/>
        <v>Part Sales</v>
      </c>
      <c r="C33" s="94">
        <f>C32*0.08</f>
        <v>4800</v>
      </c>
      <c r="D33" s="94">
        <f t="shared" ref="D33:N33" si="5">D32*0.08</f>
        <v>4801.6000000000004</v>
      </c>
      <c r="E33" s="94">
        <f t="shared" si="5"/>
        <v>4803.2</v>
      </c>
      <c r="F33" s="94">
        <f t="shared" si="5"/>
        <v>4804.8</v>
      </c>
      <c r="G33" s="94">
        <f t="shared" si="5"/>
        <v>4806.4000000000005</v>
      </c>
      <c r="H33" s="94">
        <f t="shared" si="5"/>
        <v>4808</v>
      </c>
      <c r="I33" s="94">
        <f t="shared" si="5"/>
        <v>4809.6000000000004</v>
      </c>
      <c r="J33" s="94">
        <f t="shared" si="5"/>
        <v>4811.2</v>
      </c>
      <c r="K33" s="94">
        <f t="shared" si="5"/>
        <v>4812.8</v>
      </c>
      <c r="L33" s="94">
        <f t="shared" si="5"/>
        <v>4814.4000000000005</v>
      </c>
      <c r="M33" s="94">
        <f t="shared" si="5"/>
        <v>4816</v>
      </c>
      <c r="N33" s="94">
        <f t="shared" si="5"/>
        <v>4817.6000000000004</v>
      </c>
    </row>
    <row r="34" spans="2:18">
      <c r="B34" s="66" t="str">
        <f t="shared" si="3"/>
        <v>Appliance Sales</v>
      </c>
      <c r="C34" s="94">
        <f>C32*0.25</f>
        <v>15000</v>
      </c>
      <c r="D34" s="94">
        <f t="shared" ref="D34:N34" si="6">D32*0.25</f>
        <v>15005</v>
      </c>
      <c r="E34" s="94">
        <f t="shared" si="6"/>
        <v>15010</v>
      </c>
      <c r="F34" s="94">
        <f t="shared" si="6"/>
        <v>15015</v>
      </c>
      <c r="G34" s="94">
        <f t="shared" si="6"/>
        <v>15020</v>
      </c>
      <c r="H34" s="94">
        <f t="shared" si="6"/>
        <v>15025</v>
      </c>
      <c r="I34" s="94">
        <f t="shared" si="6"/>
        <v>15030</v>
      </c>
      <c r="J34" s="94">
        <f t="shared" si="6"/>
        <v>15035</v>
      </c>
      <c r="K34" s="94">
        <f t="shared" si="6"/>
        <v>15040</v>
      </c>
      <c r="L34" s="94">
        <f t="shared" si="6"/>
        <v>15045</v>
      </c>
      <c r="M34" s="94">
        <f t="shared" si="6"/>
        <v>15050</v>
      </c>
      <c r="N34" s="94">
        <f t="shared" si="6"/>
        <v>15055</v>
      </c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8">
      <c r="B42" s="153" t="s">
        <v>8</v>
      </c>
      <c r="C42" s="154">
        <f>SUM(C32:C41)</f>
        <v>79800</v>
      </c>
      <c r="D42" s="154">
        <f t="shared" ref="D42:N42" si="7">SUM(D32:D41)</f>
        <v>79826.600000000006</v>
      </c>
      <c r="E42" s="154">
        <f t="shared" si="7"/>
        <v>79853.2</v>
      </c>
      <c r="F42" s="154">
        <f t="shared" si="7"/>
        <v>79879.8</v>
      </c>
      <c r="G42" s="154">
        <f t="shared" si="7"/>
        <v>79906.399999999994</v>
      </c>
      <c r="H42" s="154">
        <f t="shared" si="7"/>
        <v>79933</v>
      </c>
      <c r="I42" s="154">
        <f t="shared" si="7"/>
        <v>79959.600000000006</v>
      </c>
      <c r="J42" s="154">
        <f t="shared" si="7"/>
        <v>79986.2</v>
      </c>
      <c r="K42" s="154">
        <f t="shared" si="7"/>
        <v>80012.800000000003</v>
      </c>
      <c r="L42" s="154">
        <f t="shared" si="7"/>
        <v>80039.399999999994</v>
      </c>
      <c r="M42" s="154">
        <f t="shared" si="7"/>
        <v>80066</v>
      </c>
      <c r="N42" s="154">
        <f t="shared" si="7"/>
        <v>80092.600000000006</v>
      </c>
      <c r="R42" s="145" t="s">
        <v>143</v>
      </c>
    </row>
    <row r="44" spans="2:18">
      <c r="B44" s="146"/>
      <c r="C44" s="146"/>
    </row>
    <row r="45" spans="2:18">
      <c r="B45" s="147" t="s">
        <v>125</v>
      </c>
      <c r="C45" s="147"/>
    </row>
    <row r="46" spans="2:18">
      <c r="B46" s="66" t="s">
        <v>3</v>
      </c>
      <c r="C46" s="144">
        <v>0.2</v>
      </c>
    </row>
    <row r="47" spans="2:18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8">D50+1</f>
        <v>3</v>
      </c>
      <c r="F50" s="112">
        <f t="shared" si="8"/>
        <v>4</v>
      </c>
      <c r="G50" s="112">
        <f t="shared" si="8"/>
        <v>5</v>
      </c>
      <c r="H50" s="112">
        <f t="shared" si="8"/>
        <v>6</v>
      </c>
      <c r="I50" s="112">
        <f t="shared" si="8"/>
        <v>7</v>
      </c>
      <c r="J50" s="112">
        <f t="shared" si="8"/>
        <v>8</v>
      </c>
      <c r="K50" s="112">
        <f t="shared" si="8"/>
        <v>9</v>
      </c>
      <c r="L50" s="112">
        <f t="shared" si="8"/>
        <v>10</v>
      </c>
      <c r="M50" s="112">
        <f t="shared" si="8"/>
        <v>11</v>
      </c>
      <c r="N50" s="112">
        <f t="shared" si="8"/>
        <v>12</v>
      </c>
    </row>
    <row r="51" spans="2:14">
      <c r="B51" s="112" t="str">
        <f t="shared" ref="B51:B60" si="9">B32</f>
        <v>Appliance Repair Services</v>
      </c>
      <c r="C51" s="114">
        <f t="shared" ref="C51:N51" si="10">C32*($C$5/$E$5)</f>
        <v>3000</v>
      </c>
      <c r="D51" s="114">
        <f t="shared" si="10"/>
        <v>3001</v>
      </c>
      <c r="E51" s="114">
        <f t="shared" si="10"/>
        <v>3002</v>
      </c>
      <c r="F51" s="114">
        <f t="shared" si="10"/>
        <v>3003</v>
      </c>
      <c r="G51" s="114">
        <f t="shared" si="10"/>
        <v>3004</v>
      </c>
      <c r="H51" s="114">
        <f t="shared" si="10"/>
        <v>3005</v>
      </c>
      <c r="I51" s="114">
        <f t="shared" si="10"/>
        <v>3006</v>
      </c>
      <c r="J51" s="114">
        <f t="shared" si="10"/>
        <v>3007</v>
      </c>
      <c r="K51" s="114">
        <f t="shared" si="10"/>
        <v>3008</v>
      </c>
      <c r="L51" s="114">
        <f t="shared" si="10"/>
        <v>3009</v>
      </c>
      <c r="M51" s="114">
        <f t="shared" si="10"/>
        <v>3010</v>
      </c>
      <c r="N51" s="114">
        <f t="shared" si="10"/>
        <v>3011</v>
      </c>
    </row>
    <row r="52" spans="2:14">
      <c r="B52" s="112" t="str">
        <f t="shared" si="9"/>
        <v>Part Sales</v>
      </c>
      <c r="C52" s="114">
        <f t="shared" ref="C52:N52" si="11">C33*($C$6/$E$6)</f>
        <v>1920</v>
      </c>
      <c r="D52" s="114">
        <f t="shared" si="11"/>
        <v>1920.6400000000003</v>
      </c>
      <c r="E52" s="114">
        <f t="shared" si="11"/>
        <v>1921.28</v>
      </c>
      <c r="F52" s="114">
        <f t="shared" si="11"/>
        <v>1921.92</v>
      </c>
      <c r="G52" s="114">
        <f t="shared" si="11"/>
        <v>1922.5600000000004</v>
      </c>
      <c r="H52" s="114">
        <f t="shared" si="11"/>
        <v>1923.2</v>
      </c>
      <c r="I52" s="114">
        <f t="shared" si="11"/>
        <v>1923.8400000000001</v>
      </c>
      <c r="J52" s="114">
        <f t="shared" si="11"/>
        <v>1924.48</v>
      </c>
      <c r="K52" s="114">
        <f t="shared" si="11"/>
        <v>1925.1200000000001</v>
      </c>
      <c r="L52" s="114">
        <f t="shared" si="11"/>
        <v>1925.7600000000002</v>
      </c>
      <c r="M52" s="114">
        <f t="shared" si="11"/>
        <v>1926.4</v>
      </c>
      <c r="N52" s="114">
        <f t="shared" si="11"/>
        <v>1927.0400000000002</v>
      </c>
    </row>
    <row r="53" spans="2:14">
      <c r="B53" s="112" t="str">
        <f t="shared" si="9"/>
        <v>Appliance Sales</v>
      </c>
      <c r="C53" s="114">
        <f t="shared" ref="C53:N53" si="12">C34*($C$7/$E$7)</f>
        <v>7500</v>
      </c>
      <c r="D53" s="114">
        <f t="shared" si="12"/>
        <v>7502.5</v>
      </c>
      <c r="E53" s="114">
        <f t="shared" si="12"/>
        <v>7505</v>
      </c>
      <c r="F53" s="114">
        <f t="shared" si="12"/>
        <v>7507.5</v>
      </c>
      <c r="G53" s="114">
        <f t="shared" si="12"/>
        <v>7510</v>
      </c>
      <c r="H53" s="114">
        <f t="shared" si="12"/>
        <v>7512.5</v>
      </c>
      <c r="I53" s="114">
        <f t="shared" si="12"/>
        <v>7515</v>
      </c>
      <c r="J53" s="114">
        <f t="shared" si="12"/>
        <v>7517.5</v>
      </c>
      <c r="K53" s="114">
        <f t="shared" si="12"/>
        <v>7520</v>
      </c>
      <c r="L53" s="114">
        <f t="shared" si="12"/>
        <v>7522.5</v>
      </c>
      <c r="M53" s="114">
        <f t="shared" si="12"/>
        <v>7525</v>
      </c>
      <c r="N53" s="114">
        <f t="shared" si="12"/>
        <v>7527.5</v>
      </c>
    </row>
    <row r="54" spans="2:14">
      <c r="B54" s="112" t="str">
        <f t="shared" si="9"/>
        <v>Item 4</v>
      </c>
      <c r="C54" s="114">
        <f t="shared" ref="C54:N54" si="13">C35*($C$8/$E$8)</f>
        <v>0</v>
      </c>
      <c r="D54" s="114">
        <f t="shared" si="13"/>
        <v>0</v>
      </c>
      <c r="E54" s="114">
        <f t="shared" si="13"/>
        <v>0</v>
      </c>
      <c r="F54" s="114">
        <f t="shared" si="13"/>
        <v>0</v>
      </c>
      <c r="G54" s="114">
        <f t="shared" si="13"/>
        <v>0</v>
      </c>
      <c r="H54" s="114">
        <f t="shared" si="13"/>
        <v>0</v>
      </c>
      <c r="I54" s="114">
        <f t="shared" si="13"/>
        <v>0</v>
      </c>
      <c r="J54" s="114">
        <f t="shared" si="13"/>
        <v>0</v>
      </c>
      <c r="K54" s="114">
        <f t="shared" si="13"/>
        <v>0</v>
      </c>
      <c r="L54" s="114">
        <f t="shared" si="13"/>
        <v>0</v>
      </c>
      <c r="M54" s="114">
        <f t="shared" si="13"/>
        <v>0</v>
      </c>
      <c r="N54" s="114">
        <f t="shared" si="13"/>
        <v>0</v>
      </c>
    </row>
    <row r="55" spans="2:14">
      <c r="B55" s="112" t="str">
        <f t="shared" si="9"/>
        <v>Item 5</v>
      </c>
      <c r="C55" s="114">
        <f t="shared" ref="C55:N55" si="14">C36*($C$9/$E$9)</f>
        <v>0</v>
      </c>
      <c r="D55" s="114">
        <f t="shared" si="14"/>
        <v>0</v>
      </c>
      <c r="E55" s="114">
        <f t="shared" si="14"/>
        <v>0</v>
      </c>
      <c r="F55" s="114">
        <f t="shared" si="14"/>
        <v>0</v>
      </c>
      <c r="G55" s="114">
        <f t="shared" si="14"/>
        <v>0</v>
      </c>
      <c r="H55" s="114">
        <f t="shared" si="14"/>
        <v>0</v>
      </c>
      <c r="I55" s="114">
        <f t="shared" si="14"/>
        <v>0</v>
      </c>
      <c r="J55" s="114">
        <f t="shared" si="14"/>
        <v>0</v>
      </c>
      <c r="K55" s="114">
        <f t="shared" si="14"/>
        <v>0</v>
      </c>
      <c r="L55" s="114">
        <f t="shared" si="14"/>
        <v>0</v>
      </c>
      <c r="M55" s="114">
        <f t="shared" si="14"/>
        <v>0</v>
      </c>
      <c r="N55" s="114">
        <f t="shared" si="14"/>
        <v>0</v>
      </c>
    </row>
    <row r="56" spans="2:14">
      <c r="B56" s="112" t="str">
        <f t="shared" si="9"/>
        <v>Item 6</v>
      </c>
      <c r="C56" s="114">
        <f t="shared" ref="C56:N56" si="15">C37*($C$10/$E$10)</f>
        <v>0</v>
      </c>
      <c r="D56" s="114">
        <f t="shared" si="15"/>
        <v>0</v>
      </c>
      <c r="E56" s="114">
        <f t="shared" si="15"/>
        <v>0</v>
      </c>
      <c r="F56" s="114">
        <f t="shared" si="15"/>
        <v>0</v>
      </c>
      <c r="G56" s="114">
        <f t="shared" si="15"/>
        <v>0</v>
      </c>
      <c r="H56" s="114">
        <f t="shared" si="15"/>
        <v>0</v>
      </c>
      <c r="I56" s="114">
        <f t="shared" si="15"/>
        <v>0</v>
      </c>
      <c r="J56" s="114">
        <f t="shared" si="15"/>
        <v>0</v>
      </c>
      <c r="K56" s="114">
        <f t="shared" si="15"/>
        <v>0</v>
      </c>
      <c r="L56" s="114">
        <f t="shared" si="15"/>
        <v>0</v>
      </c>
      <c r="M56" s="114">
        <f t="shared" si="15"/>
        <v>0</v>
      </c>
      <c r="N56" s="114">
        <f t="shared" si="15"/>
        <v>0</v>
      </c>
    </row>
    <row r="57" spans="2:14">
      <c r="B57" s="112" t="str">
        <f t="shared" si="9"/>
        <v>Item 7</v>
      </c>
      <c r="C57" s="114">
        <f t="shared" ref="C57:N57" si="16">C38*($C$11/$E$11)</f>
        <v>0</v>
      </c>
      <c r="D57" s="114">
        <f t="shared" si="16"/>
        <v>0</v>
      </c>
      <c r="E57" s="114">
        <f t="shared" si="16"/>
        <v>0</v>
      </c>
      <c r="F57" s="114">
        <f t="shared" si="16"/>
        <v>0</v>
      </c>
      <c r="G57" s="114">
        <f t="shared" si="16"/>
        <v>0</v>
      </c>
      <c r="H57" s="114">
        <f t="shared" si="16"/>
        <v>0</v>
      </c>
      <c r="I57" s="114">
        <f t="shared" si="16"/>
        <v>0</v>
      </c>
      <c r="J57" s="114">
        <f t="shared" si="16"/>
        <v>0</v>
      </c>
      <c r="K57" s="114">
        <f t="shared" si="16"/>
        <v>0</v>
      </c>
      <c r="L57" s="114">
        <f t="shared" si="16"/>
        <v>0</v>
      </c>
      <c r="M57" s="114">
        <f t="shared" si="16"/>
        <v>0</v>
      </c>
      <c r="N57" s="114">
        <f t="shared" si="16"/>
        <v>0</v>
      </c>
    </row>
    <row r="58" spans="2:14">
      <c r="B58" s="112" t="str">
        <f t="shared" si="9"/>
        <v>Item 8</v>
      </c>
      <c r="C58" s="114">
        <f t="shared" ref="C58:N58" si="17">C39*($C$12/$E$12)</f>
        <v>0</v>
      </c>
      <c r="D58" s="114">
        <f t="shared" si="17"/>
        <v>0</v>
      </c>
      <c r="E58" s="114">
        <f t="shared" si="17"/>
        <v>0</v>
      </c>
      <c r="F58" s="114">
        <f t="shared" si="17"/>
        <v>0</v>
      </c>
      <c r="G58" s="114">
        <f t="shared" si="17"/>
        <v>0</v>
      </c>
      <c r="H58" s="114">
        <f t="shared" si="17"/>
        <v>0</v>
      </c>
      <c r="I58" s="114">
        <f t="shared" si="17"/>
        <v>0</v>
      </c>
      <c r="J58" s="114">
        <f t="shared" si="17"/>
        <v>0</v>
      </c>
      <c r="K58" s="114">
        <f t="shared" si="17"/>
        <v>0</v>
      </c>
      <c r="L58" s="114">
        <f t="shared" si="17"/>
        <v>0</v>
      </c>
      <c r="M58" s="114">
        <f t="shared" si="17"/>
        <v>0</v>
      </c>
      <c r="N58" s="114">
        <f t="shared" si="17"/>
        <v>0</v>
      </c>
    </row>
    <row r="59" spans="2:14">
      <c r="B59" s="112" t="str">
        <f t="shared" si="9"/>
        <v>Item 9</v>
      </c>
      <c r="C59" s="114">
        <f t="shared" ref="C59:N59" si="18">C40*($C$13/$E$13)</f>
        <v>0</v>
      </c>
      <c r="D59" s="114">
        <f t="shared" si="18"/>
        <v>0</v>
      </c>
      <c r="E59" s="114">
        <f t="shared" si="18"/>
        <v>0</v>
      </c>
      <c r="F59" s="114">
        <f t="shared" si="18"/>
        <v>0</v>
      </c>
      <c r="G59" s="114">
        <f t="shared" si="18"/>
        <v>0</v>
      </c>
      <c r="H59" s="114">
        <f t="shared" si="18"/>
        <v>0</v>
      </c>
      <c r="I59" s="114">
        <f t="shared" si="18"/>
        <v>0</v>
      </c>
      <c r="J59" s="114">
        <f t="shared" si="18"/>
        <v>0</v>
      </c>
      <c r="K59" s="114">
        <f t="shared" si="18"/>
        <v>0</v>
      </c>
      <c r="L59" s="114">
        <f t="shared" si="18"/>
        <v>0</v>
      </c>
      <c r="M59" s="114">
        <f t="shared" si="18"/>
        <v>0</v>
      </c>
      <c r="N59" s="114">
        <f t="shared" si="18"/>
        <v>0</v>
      </c>
    </row>
    <row r="60" spans="2:14">
      <c r="B60" s="112" t="str">
        <f t="shared" si="9"/>
        <v>Item 10</v>
      </c>
      <c r="C60" s="114">
        <f t="shared" ref="C60:N60" si="19">C41*($C$14/$E$14)</f>
        <v>0</v>
      </c>
      <c r="D60" s="114">
        <f t="shared" si="19"/>
        <v>0</v>
      </c>
      <c r="E60" s="114">
        <f t="shared" si="19"/>
        <v>0</v>
      </c>
      <c r="F60" s="114">
        <f t="shared" si="19"/>
        <v>0</v>
      </c>
      <c r="G60" s="114">
        <f t="shared" si="19"/>
        <v>0</v>
      </c>
      <c r="H60" s="114">
        <f t="shared" si="19"/>
        <v>0</v>
      </c>
      <c r="I60" s="114">
        <f t="shared" si="19"/>
        <v>0</v>
      </c>
      <c r="J60" s="114">
        <f t="shared" si="19"/>
        <v>0</v>
      </c>
      <c r="K60" s="114">
        <f t="shared" si="19"/>
        <v>0</v>
      </c>
      <c r="L60" s="114">
        <f t="shared" si="19"/>
        <v>0</v>
      </c>
      <c r="M60" s="114">
        <f t="shared" si="19"/>
        <v>0</v>
      </c>
      <c r="N60" s="114">
        <f t="shared" si="19"/>
        <v>0</v>
      </c>
    </row>
    <row r="61" spans="2:14">
      <c r="B61" s="112" t="s">
        <v>8</v>
      </c>
      <c r="C61" s="114">
        <f>SUM(C51:C60)</f>
        <v>12420</v>
      </c>
      <c r="D61" s="114">
        <f t="shared" ref="D61:N61" si="20">SUM(D51:D60)</f>
        <v>12424.14</v>
      </c>
      <c r="E61" s="114">
        <f t="shared" si="20"/>
        <v>12428.279999999999</v>
      </c>
      <c r="F61" s="114">
        <f t="shared" si="20"/>
        <v>12432.42</v>
      </c>
      <c r="G61" s="114">
        <f t="shared" si="20"/>
        <v>12436.560000000001</v>
      </c>
      <c r="H61" s="114">
        <f t="shared" si="20"/>
        <v>12440.7</v>
      </c>
      <c r="I61" s="114">
        <f t="shared" si="20"/>
        <v>12444.84</v>
      </c>
      <c r="J61" s="114">
        <f t="shared" si="20"/>
        <v>12448.98</v>
      </c>
      <c r="K61" s="114">
        <f t="shared" si="20"/>
        <v>12453.119999999999</v>
      </c>
      <c r="L61" s="114">
        <f t="shared" si="20"/>
        <v>12457.26</v>
      </c>
      <c r="M61" s="114">
        <f t="shared" si="20"/>
        <v>12461.4</v>
      </c>
      <c r="N61" s="114">
        <f t="shared" si="20"/>
        <v>12465.54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1">D65+1</f>
        <v>3</v>
      </c>
      <c r="F65" s="112">
        <f t="shared" si="21"/>
        <v>4</v>
      </c>
      <c r="G65" s="112">
        <f t="shared" si="21"/>
        <v>5</v>
      </c>
      <c r="H65" s="112">
        <f t="shared" si="21"/>
        <v>6</v>
      </c>
      <c r="I65" s="112">
        <f t="shared" si="21"/>
        <v>7</v>
      </c>
      <c r="J65" s="112">
        <f t="shared" si="21"/>
        <v>8</v>
      </c>
      <c r="K65" s="112">
        <f t="shared" si="21"/>
        <v>9</v>
      </c>
      <c r="L65" s="112">
        <f t="shared" si="21"/>
        <v>10</v>
      </c>
      <c r="M65" s="112">
        <f t="shared" si="21"/>
        <v>11</v>
      </c>
      <c r="N65" s="112">
        <f t="shared" si="21"/>
        <v>12</v>
      </c>
    </row>
    <row r="66" spans="2:14">
      <c r="B66" s="112" t="s">
        <v>8</v>
      </c>
      <c r="C66" s="114">
        <f t="shared" ref="C66:N66" si="22">C42-C61</f>
        <v>67380</v>
      </c>
      <c r="D66" s="114">
        <f t="shared" si="22"/>
        <v>67402.460000000006</v>
      </c>
      <c r="E66" s="114">
        <f t="shared" si="22"/>
        <v>67424.92</v>
      </c>
      <c r="F66" s="114">
        <f t="shared" si="22"/>
        <v>67447.38</v>
      </c>
      <c r="G66" s="114">
        <f t="shared" si="22"/>
        <v>67469.84</v>
      </c>
      <c r="H66" s="114">
        <f t="shared" si="22"/>
        <v>67492.3</v>
      </c>
      <c r="I66" s="114">
        <f t="shared" si="22"/>
        <v>67514.760000000009</v>
      </c>
      <c r="J66" s="114">
        <f t="shared" si="22"/>
        <v>67537.22</v>
      </c>
      <c r="K66" s="114">
        <f t="shared" si="22"/>
        <v>67559.680000000008</v>
      </c>
      <c r="L66" s="114">
        <f t="shared" si="22"/>
        <v>67582.14</v>
      </c>
      <c r="M66" s="114">
        <f t="shared" si="22"/>
        <v>67604.600000000006</v>
      </c>
      <c r="N66" s="114">
        <f t="shared" si="22"/>
        <v>67627.06</v>
      </c>
    </row>
  </sheetData>
  <sheetProtection algorithmName="SHA-512" hashValue="nYLtisW7579m2wS9lHPgdFh8eLB39jc8qy6MxC7z62OjEiuXhh7lW5sqd9sr5s0XceQX0WbATI9F1/MYB7ktmQ==" saltValue="FuWlX0eTp/ay6QMk4AH47Q==" spinCount="100000" sheet="1" objects="1" scenarios="1" selectLockedCells="1"/>
  <hyperlinks>
    <hyperlink ref="R42" r:id="rId1" xr:uid="{1147548B-E8B3-4125-80E2-E65FCB375D5A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P20" sqref="P20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75000</v>
      </c>
      <c r="C5" s="55"/>
      <c r="D5" s="56" t="s">
        <v>36</v>
      </c>
      <c r="E5" s="59">
        <f>PMT(B6/B8,(B7*B8),-B5)</f>
        <v>950.06830312687111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39008.196375224579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950.06830312687111</v>
      </c>
      <c r="C14" s="1">
        <f>B14-D14</f>
        <v>387.56830312687111</v>
      </c>
      <c r="D14" s="1">
        <f>(B5*($B$6/$B$8))</f>
        <v>562.5</v>
      </c>
      <c r="E14" s="1">
        <f>B5-C14</f>
        <v>74612.431696873129</v>
      </c>
    </row>
    <row r="15" spans="1:5">
      <c r="A15">
        <f>IF(($B$7*$B$8&gt;A14),IF(($B$7*$B$8)=A14,"",A14+1),"")</f>
        <v>2</v>
      </c>
      <c r="B15" s="1">
        <f>IF(A15="","",$B$14)</f>
        <v>950.06830312687111</v>
      </c>
      <c r="C15" s="1">
        <f>IF(A15="","",B15-D15)</f>
        <v>390.47506540032271</v>
      </c>
      <c r="D15" s="1">
        <f>IF(A15="","",(E14*($B$6/$B$8)))</f>
        <v>559.59323772654841</v>
      </c>
      <c r="E15" s="1">
        <f>IF(A15="","",E14-C15)</f>
        <v>74221.9566314728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950.06830312687111</v>
      </c>
      <c r="C16" s="1">
        <f t="shared" ref="C16:C79" si="2">IF(A16="","",B16-D16)</f>
        <v>393.40362839082513</v>
      </c>
      <c r="D16" s="1">
        <f t="shared" ref="D16:D79" si="3">IF(A16="","",(E15*($B$6/$B$8)))</f>
        <v>556.66467473604598</v>
      </c>
      <c r="E16" s="1">
        <f t="shared" ref="E16:E79" si="4">IF(A16="","",E15-C16)</f>
        <v>73828.553003081979</v>
      </c>
    </row>
    <row r="17" spans="1:5">
      <c r="A17">
        <f t="shared" si="0"/>
        <v>4</v>
      </c>
      <c r="B17" s="1">
        <f t="shared" si="1"/>
        <v>950.06830312687111</v>
      </c>
      <c r="C17" s="1">
        <f t="shared" si="2"/>
        <v>396.35415560375634</v>
      </c>
      <c r="D17" s="1">
        <f t="shared" si="3"/>
        <v>553.71414752311478</v>
      </c>
      <c r="E17" s="1">
        <f t="shared" si="4"/>
        <v>73432.198847478227</v>
      </c>
    </row>
    <row r="18" spans="1:5">
      <c r="A18">
        <f t="shared" si="0"/>
        <v>5</v>
      </c>
      <c r="B18" s="1">
        <f t="shared" si="1"/>
        <v>950.06830312687111</v>
      </c>
      <c r="C18" s="1">
        <f t="shared" si="2"/>
        <v>399.32681177078439</v>
      </c>
      <c r="D18" s="1">
        <f t="shared" si="3"/>
        <v>550.74149135608673</v>
      </c>
      <c r="E18" s="1">
        <f t="shared" si="4"/>
        <v>73032.872035707449</v>
      </c>
    </row>
    <row r="19" spans="1:5">
      <c r="A19">
        <f t="shared" si="0"/>
        <v>6</v>
      </c>
      <c r="B19" s="1">
        <f t="shared" si="1"/>
        <v>950.06830312687111</v>
      </c>
      <c r="C19" s="1">
        <f t="shared" si="2"/>
        <v>402.3217628590653</v>
      </c>
      <c r="D19" s="1">
        <f t="shared" si="3"/>
        <v>547.74654026780581</v>
      </c>
      <c r="E19" s="1">
        <f t="shared" si="4"/>
        <v>72630.550272848384</v>
      </c>
    </row>
    <row r="20" spans="1:5">
      <c r="A20">
        <f t="shared" si="0"/>
        <v>7</v>
      </c>
      <c r="B20" s="1">
        <f t="shared" si="1"/>
        <v>950.06830312687111</v>
      </c>
      <c r="C20" s="1">
        <f t="shared" si="2"/>
        <v>405.3391760805082</v>
      </c>
      <c r="D20" s="1">
        <f t="shared" si="3"/>
        <v>544.72912704636292</v>
      </c>
      <c r="E20" s="1">
        <f t="shared" si="4"/>
        <v>72225.211096767875</v>
      </c>
    </row>
    <row r="21" spans="1:5">
      <c r="A21">
        <f t="shared" si="0"/>
        <v>8</v>
      </c>
      <c r="B21" s="1">
        <f t="shared" si="1"/>
        <v>950.06830312687111</v>
      </c>
      <c r="C21" s="1">
        <f t="shared" si="2"/>
        <v>408.37921990111204</v>
      </c>
      <c r="D21" s="1">
        <f t="shared" si="3"/>
        <v>541.68908322575908</v>
      </c>
      <c r="E21" s="1">
        <f t="shared" si="4"/>
        <v>71816.831876866767</v>
      </c>
    </row>
    <row r="22" spans="1:5">
      <c r="A22">
        <f t="shared" si="0"/>
        <v>9</v>
      </c>
      <c r="B22" s="1">
        <f t="shared" si="1"/>
        <v>950.06830312687111</v>
      </c>
      <c r="C22" s="1">
        <f t="shared" si="2"/>
        <v>411.44206405037039</v>
      </c>
      <c r="D22" s="1">
        <f t="shared" si="3"/>
        <v>538.62623907650072</v>
      </c>
      <c r="E22" s="1">
        <f t="shared" si="4"/>
        <v>71405.3898128164</v>
      </c>
    </row>
    <row r="23" spans="1:5">
      <c r="A23">
        <f t="shared" si="0"/>
        <v>10</v>
      </c>
      <c r="B23" s="1">
        <f t="shared" si="1"/>
        <v>950.06830312687111</v>
      </c>
      <c r="C23" s="1">
        <f t="shared" si="2"/>
        <v>414.52787953074812</v>
      </c>
      <c r="D23" s="1">
        <f t="shared" si="3"/>
        <v>535.54042359612299</v>
      </c>
      <c r="E23" s="1">
        <f t="shared" si="4"/>
        <v>70990.861933285647</v>
      </c>
    </row>
    <row r="24" spans="1:5">
      <c r="A24">
        <f t="shared" si="0"/>
        <v>11</v>
      </c>
      <c r="B24" s="1">
        <f t="shared" si="1"/>
        <v>950.06830312687111</v>
      </c>
      <c r="C24" s="1">
        <f t="shared" si="2"/>
        <v>417.63683862722883</v>
      </c>
      <c r="D24" s="1">
        <f t="shared" si="3"/>
        <v>532.43146449964229</v>
      </c>
      <c r="E24" s="1">
        <f t="shared" si="4"/>
        <v>70573.225094658424</v>
      </c>
    </row>
    <row r="25" spans="1:5">
      <c r="A25">
        <f t="shared" si="0"/>
        <v>12</v>
      </c>
      <c r="B25" s="1">
        <f t="shared" si="1"/>
        <v>950.06830312687111</v>
      </c>
      <c r="C25" s="1">
        <f t="shared" si="2"/>
        <v>420.76911491693295</v>
      </c>
      <c r="D25" s="1">
        <f t="shared" si="3"/>
        <v>529.29918820993817</v>
      </c>
      <c r="E25" s="1">
        <f t="shared" si="4"/>
        <v>70152.455979741499</v>
      </c>
    </row>
    <row r="26" spans="1:5">
      <c r="A26">
        <f t="shared" si="0"/>
        <v>13</v>
      </c>
      <c r="B26" s="1">
        <f t="shared" si="1"/>
        <v>950.06830312687111</v>
      </c>
      <c r="C26" s="1">
        <f t="shared" si="2"/>
        <v>423.92488327880994</v>
      </c>
      <c r="D26" s="1">
        <f t="shared" si="3"/>
        <v>526.14341984806117</v>
      </c>
      <c r="E26" s="1">
        <f t="shared" si="4"/>
        <v>69728.531096462684</v>
      </c>
    </row>
    <row r="27" spans="1:5">
      <c r="A27">
        <f t="shared" si="0"/>
        <v>14</v>
      </c>
      <c r="B27" s="1">
        <f t="shared" si="1"/>
        <v>950.06830312687111</v>
      </c>
      <c r="C27" s="1">
        <f t="shared" si="2"/>
        <v>427.10431990340101</v>
      </c>
      <c r="D27" s="1">
        <f t="shared" si="3"/>
        <v>522.96398322347011</v>
      </c>
      <c r="E27" s="1">
        <f t="shared" si="4"/>
        <v>69301.426776559281</v>
      </c>
    </row>
    <row r="28" spans="1:5">
      <c r="A28">
        <f t="shared" si="0"/>
        <v>15</v>
      </c>
      <c r="B28" s="1">
        <f t="shared" si="1"/>
        <v>950.06830312687111</v>
      </c>
      <c r="C28" s="1">
        <f t="shared" si="2"/>
        <v>430.30760230267651</v>
      </c>
      <c r="D28" s="1">
        <f t="shared" si="3"/>
        <v>519.7607008241946</v>
      </c>
      <c r="E28" s="1">
        <f t="shared" si="4"/>
        <v>68871.119174256601</v>
      </c>
    </row>
    <row r="29" spans="1:5">
      <c r="A29">
        <f t="shared" si="0"/>
        <v>16</v>
      </c>
      <c r="B29" s="1">
        <f t="shared" si="1"/>
        <v>950.06830312687111</v>
      </c>
      <c r="C29" s="1">
        <f t="shared" si="2"/>
        <v>433.53490931994668</v>
      </c>
      <c r="D29" s="1">
        <f t="shared" si="3"/>
        <v>516.53339380692444</v>
      </c>
      <c r="E29" s="1">
        <f t="shared" si="4"/>
        <v>68437.584264936653</v>
      </c>
    </row>
    <row r="30" spans="1:5">
      <c r="A30">
        <f t="shared" si="0"/>
        <v>17</v>
      </c>
      <c r="B30" s="1">
        <f t="shared" si="1"/>
        <v>950.06830312687111</v>
      </c>
      <c r="C30" s="1">
        <f t="shared" si="2"/>
        <v>436.7864211398462</v>
      </c>
      <c r="D30" s="1">
        <f t="shared" si="3"/>
        <v>513.28188198702492</v>
      </c>
      <c r="E30" s="1">
        <f t="shared" si="4"/>
        <v>68000.797843796812</v>
      </c>
    </row>
    <row r="31" spans="1:5">
      <c r="A31">
        <f t="shared" si="0"/>
        <v>18</v>
      </c>
      <c r="B31" s="1">
        <f t="shared" si="1"/>
        <v>950.06830312687111</v>
      </c>
      <c r="C31" s="1">
        <f t="shared" si="2"/>
        <v>440.06231929839504</v>
      </c>
      <c r="D31" s="1">
        <f t="shared" si="3"/>
        <v>510.00598382847608</v>
      </c>
      <c r="E31" s="1">
        <f t="shared" si="4"/>
        <v>67560.735524498421</v>
      </c>
    </row>
    <row r="32" spans="1:5">
      <c r="A32">
        <f t="shared" si="0"/>
        <v>19</v>
      </c>
      <c r="B32" s="1">
        <f t="shared" si="1"/>
        <v>950.06830312687111</v>
      </c>
      <c r="C32" s="1">
        <f t="shared" si="2"/>
        <v>443.36278669313299</v>
      </c>
      <c r="D32" s="1">
        <f t="shared" si="3"/>
        <v>506.70551643373813</v>
      </c>
      <c r="E32" s="1">
        <f t="shared" si="4"/>
        <v>67117.372737805286</v>
      </c>
    </row>
    <row r="33" spans="1:5">
      <c r="A33">
        <f t="shared" si="0"/>
        <v>20</v>
      </c>
      <c r="B33" s="1">
        <f t="shared" si="1"/>
        <v>950.06830312687111</v>
      </c>
      <c r="C33" s="1">
        <f t="shared" si="2"/>
        <v>446.68800759333146</v>
      </c>
      <c r="D33" s="1">
        <f t="shared" si="3"/>
        <v>503.38029553353965</v>
      </c>
      <c r="E33" s="1">
        <f t="shared" si="4"/>
        <v>66670.684730211957</v>
      </c>
    </row>
    <row r="34" spans="1:5">
      <c r="A34">
        <f t="shared" si="0"/>
        <v>21</v>
      </c>
      <c r="B34" s="1">
        <f t="shared" si="1"/>
        <v>950.06830312687111</v>
      </c>
      <c r="C34" s="1">
        <f t="shared" si="2"/>
        <v>450.03816765028148</v>
      </c>
      <c r="D34" s="1">
        <f t="shared" si="3"/>
        <v>500.03013547658963</v>
      </c>
      <c r="E34" s="1">
        <f t="shared" si="4"/>
        <v>66220.646562561669</v>
      </c>
    </row>
    <row r="35" spans="1:5">
      <c r="A35">
        <f t="shared" si="0"/>
        <v>22</v>
      </c>
      <c r="B35" s="1">
        <f t="shared" si="1"/>
        <v>950.06830312687111</v>
      </c>
      <c r="C35" s="1">
        <f t="shared" si="2"/>
        <v>453.41345390765861</v>
      </c>
      <c r="D35" s="1">
        <f t="shared" si="3"/>
        <v>496.65484921921251</v>
      </c>
      <c r="E35" s="1">
        <f t="shared" si="4"/>
        <v>65767.233108654007</v>
      </c>
    </row>
    <row r="36" spans="1:5">
      <c r="A36">
        <f t="shared" si="0"/>
        <v>23</v>
      </c>
      <c r="B36" s="1">
        <f t="shared" si="1"/>
        <v>950.06830312687111</v>
      </c>
      <c r="C36" s="1">
        <f t="shared" si="2"/>
        <v>456.81405481196606</v>
      </c>
      <c r="D36" s="1">
        <f t="shared" si="3"/>
        <v>493.25424831490506</v>
      </c>
      <c r="E36" s="1">
        <f t="shared" si="4"/>
        <v>65310.419053842044</v>
      </c>
    </row>
    <row r="37" spans="1:5">
      <c r="A37">
        <f t="shared" si="0"/>
        <v>24</v>
      </c>
      <c r="B37" s="1">
        <f t="shared" si="1"/>
        <v>950.06830312687111</v>
      </c>
      <c r="C37" s="1">
        <f t="shared" si="2"/>
        <v>460.2401602230558</v>
      </c>
      <c r="D37" s="1">
        <f t="shared" si="3"/>
        <v>489.82814290381532</v>
      </c>
      <c r="E37" s="1">
        <f t="shared" si="4"/>
        <v>64850.178893618991</v>
      </c>
    </row>
    <row r="38" spans="1:5">
      <c r="A38">
        <f t="shared" si="0"/>
        <v>25</v>
      </c>
      <c r="B38" s="1">
        <f t="shared" si="1"/>
        <v>950.06830312687111</v>
      </c>
      <c r="C38" s="1">
        <f t="shared" si="2"/>
        <v>463.69196142472867</v>
      </c>
      <c r="D38" s="1">
        <f t="shared" si="3"/>
        <v>486.37634170214244</v>
      </c>
      <c r="E38" s="1">
        <f t="shared" si="4"/>
        <v>64386.486932194261</v>
      </c>
    </row>
    <row r="39" spans="1:5">
      <c r="A39">
        <f t="shared" si="0"/>
        <v>26</v>
      </c>
      <c r="B39" s="1">
        <f t="shared" si="1"/>
        <v>950.06830312687111</v>
      </c>
      <c r="C39" s="1">
        <f t="shared" si="2"/>
        <v>467.1696511354142</v>
      </c>
      <c r="D39" s="1">
        <f t="shared" si="3"/>
        <v>482.89865199145692</v>
      </c>
      <c r="E39" s="1">
        <f t="shared" si="4"/>
        <v>63919.317281058844</v>
      </c>
    </row>
    <row r="40" spans="1:5">
      <c r="A40">
        <f t="shared" si="0"/>
        <v>27</v>
      </c>
      <c r="B40" s="1">
        <f t="shared" si="1"/>
        <v>950.06830312687111</v>
      </c>
      <c r="C40" s="1">
        <f t="shared" si="2"/>
        <v>470.67342351892978</v>
      </c>
      <c r="D40" s="1">
        <f t="shared" si="3"/>
        <v>479.39487960794133</v>
      </c>
      <c r="E40" s="1">
        <f t="shared" si="4"/>
        <v>63448.643857539915</v>
      </c>
    </row>
    <row r="41" spans="1:5">
      <c r="A41">
        <f t="shared" si="0"/>
        <v>28</v>
      </c>
      <c r="B41" s="1">
        <f t="shared" si="1"/>
        <v>950.06830312687111</v>
      </c>
      <c r="C41" s="1">
        <f t="shared" si="2"/>
        <v>474.20347419532175</v>
      </c>
      <c r="D41" s="1">
        <f t="shared" si="3"/>
        <v>475.86482893154937</v>
      </c>
      <c r="E41" s="1">
        <f t="shared" si="4"/>
        <v>62974.44038334459</v>
      </c>
    </row>
    <row r="42" spans="1:5">
      <c r="A42">
        <f t="shared" si="0"/>
        <v>29</v>
      </c>
      <c r="B42" s="1">
        <f t="shared" si="1"/>
        <v>950.06830312687111</v>
      </c>
      <c r="C42" s="1">
        <f t="shared" si="2"/>
        <v>477.76000025178672</v>
      </c>
      <c r="D42" s="1">
        <f t="shared" si="3"/>
        <v>472.30830287508439</v>
      </c>
      <c r="E42" s="1">
        <f t="shared" si="4"/>
        <v>62496.680383092804</v>
      </c>
    </row>
    <row r="43" spans="1:5">
      <c r="A43">
        <f t="shared" si="0"/>
        <v>30</v>
      </c>
      <c r="B43" s="1">
        <f t="shared" si="1"/>
        <v>950.06830312687111</v>
      </c>
      <c r="C43" s="1">
        <f t="shared" si="2"/>
        <v>481.34320025367509</v>
      </c>
      <c r="D43" s="1">
        <f t="shared" si="3"/>
        <v>468.72510287319602</v>
      </c>
      <c r="E43" s="1">
        <f t="shared" si="4"/>
        <v>62015.337182839132</v>
      </c>
    </row>
    <row r="44" spans="1:5">
      <c r="A44">
        <f t="shared" si="0"/>
        <v>31</v>
      </c>
      <c r="B44" s="1">
        <f t="shared" si="1"/>
        <v>950.06830312687111</v>
      </c>
      <c r="C44" s="1">
        <f t="shared" si="2"/>
        <v>484.95327425557764</v>
      </c>
      <c r="D44" s="1">
        <f t="shared" si="3"/>
        <v>465.11502887129348</v>
      </c>
      <c r="E44" s="1">
        <f t="shared" si="4"/>
        <v>61530.383908583557</v>
      </c>
    </row>
    <row r="45" spans="1:5">
      <c r="A45">
        <f t="shared" si="0"/>
        <v>32</v>
      </c>
      <c r="B45" s="1">
        <f t="shared" si="1"/>
        <v>950.06830312687111</v>
      </c>
      <c r="C45" s="1">
        <f t="shared" si="2"/>
        <v>488.59042381249446</v>
      </c>
      <c r="D45" s="1">
        <f t="shared" si="3"/>
        <v>461.47787931437665</v>
      </c>
      <c r="E45" s="1">
        <f t="shared" si="4"/>
        <v>61041.793484771064</v>
      </c>
    </row>
    <row r="46" spans="1:5">
      <c r="A46">
        <f t="shared" si="0"/>
        <v>33</v>
      </c>
      <c r="B46" s="1">
        <f t="shared" si="1"/>
        <v>950.06830312687111</v>
      </c>
      <c r="C46" s="1">
        <f t="shared" si="2"/>
        <v>492.25485199108817</v>
      </c>
      <c r="D46" s="1">
        <f t="shared" si="3"/>
        <v>457.81345113578294</v>
      </c>
      <c r="E46" s="1">
        <f t="shared" si="4"/>
        <v>60549.538632779979</v>
      </c>
    </row>
    <row r="47" spans="1:5">
      <c r="A47">
        <f t="shared" si="0"/>
        <v>34</v>
      </c>
      <c r="B47" s="1">
        <f t="shared" si="1"/>
        <v>950.06830312687111</v>
      </c>
      <c r="C47" s="1">
        <f t="shared" si="2"/>
        <v>495.9467633810213</v>
      </c>
      <c r="D47" s="1">
        <f t="shared" si="3"/>
        <v>454.12153974584982</v>
      </c>
      <c r="E47" s="1">
        <f t="shared" si="4"/>
        <v>60053.591869398959</v>
      </c>
    </row>
    <row r="48" spans="1:5">
      <c r="A48">
        <f t="shared" si="0"/>
        <v>35</v>
      </c>
      <c r="B48" s="1">
        <f t="shared" si="1"/>
        <v>950.06830312687111</v>
      </c>
      <c r="C48" s="1">
        <f t="shared" si="2"/>
        <v>499.66636410637892</v>
      </c>
      <c r="D48" s="1">
        <f t="shared" si="3"/>
        <v>450.40193902049219</v>
      </c>
      <c r="E48" s="1">
        <f t="shared" si="4"/>
        <v>59553.92550529258</v>
      </c>
    </row>
    <row r="49" spans="1:5">
      <c r="A49">
        <f t="shared" si="0"/>
        <v>36</v>
      </c>
      <c r="B49" s="1">
        <f t="shared" si="1"/>
        <v>950.06830312687111</v>
      </c>
      <c r="C49" s="1">
        <f t="shared" si="2"/>
        <v>503.4138618371768</v>
      </c>
      <c r="D49" s="1">
        <f t="shared" si="3"/>
        <v>446.65444128969432</v>
      </c>
      <c r="E49" s="1">
        <f t="shared" si="4"/>
        <v>59050.5116434554</v>
      </c>
    </row>
    <row r="50" spans="1:5">
      <c r="A50">
        <f t="shared" si="0"/>
        <v>37</v>
      </c>
      <c r="B50" s="1">
        <f t="shared" si="1"/>
        <v>950.06830312687111</v>
      </c>
      <c r="C50" s="1">
        <f t="shared" si="2"/>
        <v>507.18946580095565</v>
      </c>
      <c r="D50" s="1">
        <f t="shared" si="3"/>
        <v>442.87883732591547</v>
      </c>
      <c r="E50" s="1">
        <f t="shared" si="4"/>
        <v>58543.322177654445</v>
      </c>
    </row>
    <row r="51" spans="1:5">
      <c r="A51">
        <f t="shared" si="0"/>
        <v>38</v>
      </c>
      <c r="B51" s="1">
        <f t="shared" si="1"/>
        <v>950.06830312687111</v>
      </c>
      <c r="C51" s="1">
        <f t="shared" si="2"/>
        <v>510.99338679446277</v>
      </c>
      <c r="D51" s="1">
        <f t="shared" si="3"/>
        <v>439.07491633240835</v>
      </c>
      <c r="E51" s="1">
        <f t="shared" si="4"/>
        <v>58032.328790859981</v>
      </c>
    </row>
    <row r="52" spans="1:5">
      <c r="A52">
        <f t="shared" si="0"/>
        <v>39</v>
      </c>
      <c r="B52" s="1">
        <f t="shared" si="1"/>
        <v>950.06830312687111</v>
      </c>
      <c r="C52" s="1">
        <f t="shared" si="2"/>
        <v>514.82583719542129</v>
      </c>
      <c r="D52" s="1">
        <f t="shared" si="3"/>
        <v>435.24246593144983</v>
      </c>
      <c r="E52" s="1">
        <f t="shared" si="4"/>
        <v>57517.50295366456</v>
      </c>
    </row>
    <row r="53" spans="1:5">
      <c r="A53">
        <f t="shared" si="0"/>
        <v>40</v>
      </c>
      <c r="B53" s="1">
        <f t="shared" si="1"/>
        <v>950.06830312687111</v>
      </c>
      <c r="C53" s="1">
        <f t="shared" si="2"/>
        <v>518.68703097438697</v>
      </c>
      <c r="D53" s="1">
        <f t="shared" si="3"/>
        <v>431.3812721524842</v>
      </c>
      <c r="E53" s="1">
        <f t="shared" si="4"/>
        <v>56998.81592269017</v>
      </c>
    </row>
    <row r="54" spans="1:5">
      <c r="A54">
        <f t="shared" si="0"/>
        <v>41</v>
      </c>
      <c r="B54" s="1">
        <f t="shared" si="1"/>
        <v>950.06830312687111</v>
      </c>
      <c r="C54" s="1">
        <f t="shared" si="2"/>
        <v>522.57718370669488</v>
      </c>
      <c r="D54" s="1">
        <f t="shared" si="3"/>
        <v>427.49111942017623</v>
      </c>
      <c r="E54" s="1">
        <f t="shared" si="4"/>
        <v>56476.238738983477</v>
      </c>
    </row>
    <row r="55" spans="1:5">
      <c r="A55">
        <f t="shared" si="0"/>
        <v>42</v>
      </c>
      <c r="B55" s="1">
        <f t="shared" si="1"/>
        <v>950.06830312687111</v>
      </c>
      <c r="C55" s="1">
        <f t="shared" si="2"/>
        <v>526.49651258449512</v>
      </c>
      <c r="D55" s="1">
        <f t="shared" si="3"/>
        <v>423.57179054237605</v>
      </c>
      <c r="E55" s="1">
        <f t="shared" si="4"/>
        <v>55949.742226398979</v>
      </c>
    </row>
    <row r="56" spans="1:5">
      <c r="A56">
        <f t="shared" si="0"/>
        <v>43</v>
      </c>
      <c r="B56" s="1">
        <f t="shared" si="1"/>
        <v>950.06830312687111</v>
      </c>
      <c r="C56" s="1">
        <f t="shared" si="2"/>
        <v>530.44523642887884</v>
      </c>
      <c r="D56" s="1">
        <f t="shared" si="3"/>
        <v>419.62306669799233</v>
      </c>
      <c r="E56" s="1">
        <f t="shared" si="4"/>
        <v>55419.296989970098</v>
      </c>
    </row>
    <row r="57" spans="1:5">
      <c r="A57">
        <f t="shared" si="0"/>
        <v>44</v>
      </c>
      <c r="B57" s="1">
        <f t="shared" si="1"/>
        <v>950.06830312687111</v>
      </c>
      <c r="C57" s="1">
        <f t="shared" si="2"/>
        <v>534.42357570209538</v>
      </c>
      <c r="D57" s="1">
        <f t="shared" si="3"/>
        <v>415.64472742477574</v>
      </c>
      <c r="E57" s="1">
        <f t="shared" si="4"/>
        <v>54884.873414268004</v>
      </c>
    </row>
    <row r="58" spans="1:5">
      <c r="A58">
        <f t="shared" si="0"/>
        <v>45</v>
      </c>
      <c r="B58" s="1">
        <f t="shared" si="1"/>
        <v>950.06830312687111</v>
      </c>
      <c r="C58" s="1">
        <f t="shared" si="2"/>
        <v>538.43175251986111</v>
      </c>
      <c r="D58" s="1">
        <f t="shared" si="3"/>
        <v>411.63655060701001</v>
      </c>
      <c r="E58" s="1">
        <f t="shared" si="4"/>
        <v>54346.44166174814</v>
      </c>
    </row>
    <row r="59" spans="1:5">
      <c r="A59">
        <f t="shared" si="0"/>
        <v>46</v>
      </c>
      <c r="B59" s="1">
        <f t="shared" si="1"/>
        <v>950.06830312687111</v>
      </c>
      <c r="C59" s="1">
        <f t="shared" si="2"/>
        <v>542.46999066376009</v>
      </c>
      <c r="D59" s="1">
        <f t="shared" si="3"/>
        <v>407.59831246311103</v>
      </c>
      <c r="E59" s="1">
        <f t="shared" si="4"/>
        <v>53803.971671084379</v>
      </c>
    </row>
    <row r="60" spans="1:5">
      <c r="A60">
        <f t="shared" si="0"/>
        <v>47</v>
      </c>
      <c r="B60" s="1">
        <f t="shared" si="1"/>
        <v>950.06830312687111</v>
      </c>
      <c r="C60" s="1">
        <f t="shared" si="2"/>
        <v>546.53851559373834</v>
      </c>
      <c r="D60" s="1">
        <f t="shared" si="3"/>
        <v>403.52978753313283</v>
      </c>
      <c r="E60" s="1">
        <f t="shared" si="4"/>
        <v>53257.433155490638</v>
      </c>
    </row>
    <row r="61" spans="1:5">
      <c r="A61">
        <f t="shared" si="0"/>
        <v>48</v>
      </c>
      <c r="B61" s="1">
        <f t="shared" si="1"/>
        <v>950.06830312687111</v>
      </c>
      <c r="C61" s="1">
        <f t="shared" si="2"/>
        <v>550.63755446069126</v>
      </c>
      <c r="D61" s="1">
        <f t="shared" si="3"/>
        <v>399.4307486661798</v>
      </c>
      <c r="E61" s="1">
        <f t="shared" si="4"/>
        <v>52706.795601029946</v>
      </c>
    </row>
    <row r="62" spans="1:5">
      <c r="A62">
        <f t="shared" si="0"/>
        <v>49</v>
      </c>
      <c r="B62" s="1">
        <f t="shared" si="1"/>
        <v>950.06830312687111</v>
      </c>
      <c r="C62" s="1">
        <f t="shared" si="2"/>
        <v>554.76733611914653</v>
      </c>
      <c r="D62" s="1">
        <f t="shared" si="3"/>
        <v>395.30096700772458</v>
      </c>
      <c r="E62" s="1">
        <f t="shared" si="4"/>
        <v>52152.028264910798</v>
      </c>
    </row>
    <row r="63" spans="1:5">
      <c r="A63">
        <f t="shared" si="0"/>
        <v>50</v>
      </c>
      <c r="B63" s="1">
        <f t="shared" si="1"/>
        <v>950.06830312687111</v>
      </c>
      <c r="C63" s="1">
        <f t="shared" si="2"/>
        <v>558.92809114004012</v>
      </c>
      <c r="D63" s="1">
        <f t="shared" si="3"/>
        <v>391.14021198683099</v>
      </c>
      <c r="E63" s="1">
        <f t="shared" si="4"/>
        <v>51593.100173770756</v>
      </c>
    </row>
    <row r="64" spans="1:5">
      <c r="A64">
        <f t="shared" si="0"/>
        <v>51</v>
      </c>
      <c r="B64" s="1">
        <f t="shared" si="1"/>
        <v>950.06830312687111</v>
      </c>
      <c r="C64" s="1">
        <f t="shared" si="2"/>
        <v>563.12005182359053</v>
      </c>
      <c r="D64" s="1">
        <f t="shared" si="3"/>
        <v>386.94825130328064</v>
      </c>
      <c r="E64" s="1">
        <f t="shared" si="4"/>
        <v>51029.980121947163</v>
      </c>
    </row>
    <row r="65" spans="1:5">
      <c r="A65">
        <f t="shared" si="0"/>
        <v>52</v>
      </c>
      <c r="B65" s="1">
        <f t="shared" si="1"/>
        <v>950.06830312687111</v>
      </c>
      <c r="C65" s="1">
        <f t="shared" si="2"/>
        <v>567.34345221226738</v>
      </c>
      <c r="D65" s="1">
        <f t="shared" si="3"/>
        <v>382.72485091460373</v>
      </c>
      <c r="E65" s="1">
        <f t="shared" si="4"/>
        <v>50462.636669734893</v>
      </c>
    </row>
    <row r="66" spans="1:5">
      <c r="A66">
        <f t="shared" si="0"/>
        <v>53</v>
      </c>
      <c r="B66" s="1">
        <f t="shared" si="1"/>
        <v>950.06830312687111</v>
      </c>
      <c r="C66" s="1">
        <f t="shared" si="2"/>
        <v>571.59852810385951</v>
      </c>
      <c r="D66" s="1">
        <f t="shared" si="3"/>
        <v>378.46977502301166</v>
      </c>
      <c r="E66" s="1">
        <f t="shared" si="4"/>
        <v>49891.038141631034</v>
      </c>
    </row>
    <row r="67" spans="1:5">
      <c r="A67">
        <f t="shared" si="0"/>
        <v>54</v>
      </c>
      <c r="B67" s="1">
        <f t="shared" si="1"/>
        <v>950.06830312687111</v>
      </c>
      <c r="C67" s="1">
        <f t="shared" si="2"/>
        <v>575.88551706463841</v>
      </c>
      <c r="D67" s="1">
        <f t="shared" si="3"/>
        <v>374.18278606223276</v>
      </c>
      <c r="E67" s="1">
        <f t="shared" si="4"/>
        <v>49315.152624566399</v>
      </c>
    </row>
    <row r="68" spans="1:5">
      <c r="A68">
        <f t="shared" si="0"/>
        <v>55</v>
      </c>
      <c r="B68" s="1">
        <f t="shared" si="1"/>
        <v>950.06830312687111</v>
      </c>
      <c r="C68" s="1">
        <f t="shared" si="2"/>
        <v>580.20465844262321</v>
      </c>
      <c r="D68" s="1">
        <f t="shared" si="3"/>
        <v>369.86364468424796</v>
      </c>
      <c r="E68" s="1">
        <f t="shared" si="4"/>
        <v>48734.947966123778</v>
      </c>
    </row>
    <row r="69" spans="1:5">
      <c r="A69">
        <f t="shared" si="0"/>
        <v>56</v>
      </c>
      <c r="B69" s="1">
        <f t="shared" si="1"/>
        <v>950.06830312687111</v>
      </c>
      <c r="C69" s="1">
        <f t="shared" si="2"/>
        <v>584.55619338094277</v>
      </c>
      <c r="D69" s="1">
        <f t="shared" si="3"/>
        <v>365.51210974592834</v>
      </c>
      <c r="E69" s="1">
        <f t="shared" si="4"/>
        <v>48150.391772742834</v>
      </c>
    </row>
    <row r="70" spans="1:5">
      <c r="A70">
        <f t="shared" si="0"/>
        <v>57</v>
      </c>
      <c r="B70" s="1">
        <f t="shared" si="1"/>
        <v>950.06830312687111</v>
      </c>
      <c r="C70" s="1">
        <f t="shared" si="2"/>
        <v>588.9403648312998</v>
      </c>
      <c r="D70" s="1">
        <f t="shared" si="3"/>
        <v>361.12793829557125</v>
      </c>
      <c r="E70" s="1">
        <f t="shared" si="4"/>
        <v>47561.451407911532</v>
      </c>
    </row>
    <row r="71" spans="1:5">
      <c r="A71">
        <f t="shared" si="0"/>
        <v>58</v>
      </c>
      <c r="B71" s="1">
        <f t="shared" si="1"/>
        <v>950.06830312687111</v>
      </c>
      <c r="C71" s="1">
        <f t="shared" si="2"/>
        <v>593.35741756753464</v>
      </c>
      <c r="D71" s="1">
        <f t="shared" si="3"/>
        <v>356.71088555933648</v>
      </c>
      <c r="E71" s="1">
        <f t="shared" si="4"/>
        <v>46968.093990344001</v>
      </c>
    </row>
    <row r="72" spans="1:5">
      <c r="A72">
        <f t="shared" si="0"/>
        <v>59</v>
      </c>
      <c r="B72" s="1">
        <f t="shared" si="1"/>
        <v>950.06830312687111</v>
      </c>
      <c r="C72" s="1">
        <f t="shared" si="2"/>
        <v>597.80759819929108</v>
      </c>
      <c r="D72" s="1">
        <f t="shared" si="3"/>
        <v>352.26070492757998</v>
      </c>
      <c r="E72" s="1">
        <f t="shared" si="4"/>
        <v>46370.286392144713</v>
      </c>
    </row>
    <row r="73" spans="1:5">
      <c r="A73">
        <f t="shared" si="0"/>
        <v>60</v>
      </c>
      <c r="B73" s="1">
        <f t="shared" si="1"/>
        <v>950.06830312687111</v>
      </c>
      <c r="C73" s="1">
        <f t="shared" si="2"/>
        <v>602.29115518578578</v>
      </c>
      <c r="D73" s="1">
        <f t="shared" si="3"/>
        <v>347.77714794108533</v>
      </c>
      <c r="E73" s="1">
        <f t="shared" si="4"/>
        <v>45767.99523695893</v>
      </c>
    </row>
    <row r="74" spans="1:5">
      <c r="A74">
        <f t="shared" si="0"/>
        <v>61</v>
      </c>
      <c r="B74" s="1">
        <f t="shared" si="1"/>
        <v>950.06830312687111</v>
      </c>
      <c r="C74" s="1">
        <f t="shared" si="2"/>
        <v>606.8083388496791</v>
      </c>
      <c r="D74" s="1">
        <f t="shared" si="3"/>
        <v>343.25996427719195</v>
      </c>
      <c r="E74" s="1">
        <f t="shared" si="4"/>
        <v>45161.186898109248</v>
      </c>
    </row>
    <row r="75" spans="1:5">
      <c r="A75">
        <f t="shared" si="0"/>
        <v>62</v>
      </c>
      <c r="B75" s="1">
        <f t="shared" si="1"/>
        <v>950.06830312687111</v>
      </c>
      <c r="C75" s="1">
        <f t="shared" si="2"/>
        <v>611.35940139105173</v>
      </c>
      <c r="D75" s="1">
        <f t="shared" si="3"/>
        <v>338.70890173581932</v>
      </c>
      <c r="E75" s="1">
        <f t="shared" si="4"/>
        <v>44549.827496718193</v>
      </c>
    </row>
    <row r="76" spans="1:5">
      <c r="A76">
        <f t="shared" si="0"/>
        <v>63</v>
      </c>
      <c r="B76" s="1">
        <f t="shared" si="1"/>
        <v>950.06830312687111</v>
      </c>
      <c r="C76" s="1">
        <f t="shared" si="2"/>
        <v>615.9445969014846</v>
      </c>
      <c r="D76" s="1">
        <f t="shared" si="3"/>
        <v>334.12370622538646</v>
      </c>
      <c r="E76" s="1">
        <f t="shared" si="4"/>
        <v>43933.882899816708</v>
      </c>
    </row>
    <row r="77" spans="1:5">
      <c r="A77">
        <f t="shared" si="0"/>
        <v>64</v>
      </c>
      <c r="B77" s="1">
        <f t="shared" si="1"/>
        <v>950.06830312687111</v>
      </c>
      <c r="C77" s="1">
        <f t="shared" si="2"/>
        <v>620.56418137824585</v>
      </c>
      <c r="D77" s="1">
        <f t="shared" si="3"/>
        <v>329.50412174862532</v>
      </c>
      <c r="E77" s="1">
        <f t="shared" si="4"/>
        <v>43313.318718438459</v>
      </c>
    </row>
    <row r="78" spans="1:5">
      <c r="A78">
        <f t="shared" si="0"/>
        <v>65</v>
      </c>
      <c r="B78" s="1">
        <f t="shared" si="1"/>
        <v>950.06830312687111</v>
      </c>
      <c r="C78" s="1">
        <f t="shared" si="2"/>
        <v>625.21841273858263</v>
      </c>
      <c r="D78" s="1">
        <f t="shared" si="3"/>
        <v>324.84989038828843</v>
      </c>
      <c r="E78" s="1">
        <f t="shared" si="4"/>
        <v>42688.100305699874</v>
      </c>
    </row>
    <row r="79" spans="1:5">
      <c r="A79">
        <f t="shared" si="0"/>
        <v>66</v>
      </c>
      <c r="B79" s="1">
        <f t="shared" si="1"/>
        <v>950.06830312687111</v>
      </c>
      <c r="C79" s="1">
        <f t="shared" si="2"/>
        <v>629.90755083412205</v>
      </c>
      <c r="D79" s="1">
        <f t="shared" si="3"/>
        <v>320.16075229274907</v>
      </c>
      <c r="E79" s="1">
        <f t="shared" si="4"/>
        <v>42058.192754865755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950.06830312687111</v>
      </c>
      <c r="C80" s="1">
        <f t="shared" ref="C80:C143" si="7">IF(A80="","",B80-D80)</f>
        <v>634.63185746537795</v>
      </c>
      <c r="D80" s="1">
        <f t="shared" ref="D80:D143" si="8">IF(A80="","",(E79*($B$6/$B$8)))</f>
        <v>315.43644566149317</v>
      </c>
      <c r="E80" s="1">
        <f t="shared" ref="E80:E143" si="9">IF(A80="","",E79-C80)</f>
        <v>41423.560897400377</v>
      </c>
    </row>
    <row r="81" spans="1:5">
      <c r="A81">
        <f t="shared" si="5"/>
        <v>68</v>
      </c>
      <c r="B81" s="1">
        <f t="shared" si="6"/>
        <v>950.06830312687111</v>
      </c>
      <c r="C81" s="1">
        <f t="shared" si="7"/>
        <v>639.3915963963683</v>
      </c>
      <c r="D81" s="1">
        <f t="shared" si="8"/>
        <v>310.67670673050281</v>
      </c>
      <c r="E81" s="1">
        <f t="shared" si="9"/>
        <v>40784.169301004011</v>
      </c>
    </row>
    <row r="82" spans="1:5">
      <c r="A82">
        <f t="shared" si="5"/>
        <v>69</v>
      </c>
      <c r="B82" s="1">
        <f t="shared" si="6"/>
        <v>950.06830312687111</v>
      </c>
      <c r="C82" s="1">
        <f t="shared" si="7"/>
        <v>644.18703336934107</v>
      </c>
      <c r="D82" s="1">
        <f t="shared" si="8"/>
        <v>305.88126975753005</v>
      </c>
      <c r="E82" s="1">
        <f t="shared" si="9"/>
        <v>40139.982267634667</v>
      </c>
    </row>
    <row r="83" spans="1:5">
      <c r="A83">
        <f t="shared" si="5"/>
        <v>70</v>
      </c>
      <c r="B83" s="1">
        <f t="shared" si="6"/>
        <v>950.06830312687111</v>
      </c>
      <c r="C83" s="1">
        <f t="shared" si="7"/>
        <v>649.01843611961112</v>
      </c>
      <c r="D83" s="1">
        <f t="shared" si="8"/>
        <v>301.04986700725999</v>
      </c>
      <c r="E83" s="1">
        <f t="shared" si="9"/>
        <v>39490.963831515059</v>
      </c>
    </row>
    <row r="84" spans="1:5">
      <c r="A84">
        <f t="shared" si="5"/>
        <v>71</v>
      </c>
      <c r="B84" s="1">
        <f t="shared" si="6"/>
        <v>950.06830312687111</v>
      </c>
      <c r="C84" s="1">
        <f t="shared" si="7"/>
        <v>653.88607439050816</v>
      </c>
      <c r="D84" s="1">
        <f t="shared" si="8"/>
        <v>296.1822287363629</v>
      </c>
      <c r="E84" s="1">
        <f t="shared" si="9"/>
        <v>38837.077757124549</v>
      </c>
    </row>
    <row r="85" spans="1:5">
      <c r="A85">
        <f t="shared" si="5"/>
        <v>72</v>
      </c>
      <c r="B85" s="1">
        <f t="shared" si="6"/>
        <v>950.06830312687111</v>
      </c>
      <c r="C85" s="1">
        <f t="shared" si="7"/>
        <v>658.79021994843697</v>
      </c>
      <c r="D85" s="1">
        <f t="shared" si="8"/>
        <v>291.27808317843409</v>
      </c>
      <c r="E85" s="1">
        <f t="shared" si="9"/>
        <v>38178.287537176111</v>
      </c>
    </row>
    <row r="86" spans="1:5">
      <c r="A86">
        <f t="shared" si="5"/>
        <v>73</v>
      </c>
      <c r="B86" s="1">
        <f t="shared" si="6"/>
        <v>950.06830312687111</v>
      </c>
      <c r="C86" s="1">
        <f t="shared" si="7"/>
        <v>663.73114659805037</v>
      </c>
      <c r="D86" s="1">
        <f t="shared" si="8"/>
        <v>286.3371565288208</v>
      </c>
      <c r="E86" s="1">
        <f t="shared" si="9"/>
        <v>37514.556390578058</v>
      </c>
    </row>
    <row r="87" spans="1:5">
      <c r="A87">
        <f t="shared" si="5"/>
        <v>74</v>
      </c>
      <c r="B87" s="1">
        <f t="shared" si="6"/>
        <v>950.06830312687111</v>
      </c>
      <c r="C87" s="1">
        <f t="shared" si="7"/>
        <v>668.70913019753561</v>
      </c>
      <c r="D87" s="1">
        <f t="shared" si="8"/>
        <v>281.35917292933544</v>
      </c>
      <c r="E87" s="1">
        <f t="shared" si="9"/>
        <v>36845.84726038052</v>
      </c>
    </row>
    <row r="88" spans="1:5">
      <c r="A88">
        <f t="shared" si="5"/>
        <v>75</v>
      </c>
      <c r="B88" s="1">
        <f t="shared" si="6"/>
        <v>950.06830312687111</v>
      </c>
      <c r="C88" s="1">
        <f t="shared" si="7"/>
        <v>673.72444867401714</v>
      </c>
      <c r="D88" s="1">
        <f t="shared" si="8"/>
        <v>276.34385445285392</v>
      </c>
      <c r="E88" s="1">
        <f t="shared" si="9"/>
        <v>36172.122811706504</v>
      </c>
    </row>
    <row r="89" spans="1:5">
      <c r="A89">
        <f t="shared" si="5"/>
        <v>76</v>
      </c>
      <c r="B89" s="1">
        <f t="shared" si="6"/>
        <v>950.06830312687111</v>
      </c>
      <c r="C89" s="1">
        <f t="shared" si="7"/>
        <v>678.77738203907234</v>
      </c>
      <c r="D89" s="1">
        <f t="shared" si="8"/>
        <v>271.29092108779878</v>
      </c>
      <c r="E89" s="1">
        <f t="shared" si="9"/>
        <v>35493.345429667432</v>
      </c>
    </row>
    <row r="90" spans="1:5">
      <c r="A90">
        <f t="shared" si="5"/>
        <v>77</v>
      </c>
      <c r="B90" s="1">
        <f t="shared" si="6"/>
        <v>950.06830312687111</v>
      </c>
      <c r="C90" s="1">
        <f t="shared" si="7"/>
        <v>683.86821240436541</v>
      </c>
      <c r="D90" s="1">
        <f t="shared" si="8"/>
        <v>266.20009072250571</v>
      </c>
      <c r="E90" s="1">
        <f t="shared" si="9"/>
        <v>34809.477217263069</v>
      </c>
    </row>
    <row r="91" spans="1:5">
      <c r="A91">
        <f t="shared" si="5"/>
        <v>78</v>
      </c>
      <c r="B91" s="1">
        <f t="shared" si="6"/>
        <v>950.06830312687111</v>
      </c>
      <c r="C91" s="1">
        <f t="shared" si="7"/>
        <v>688.99722399739812</v>
      </c>
      <c r="D91" s="1">
        <f t="shared" si="8"/>
        <v>261.07107912947299</v>
      </c>
      <c r="E91" s="1">
        <f t="shared" si="9"/>
        <v>34120.479993265668</v>
      </c>
    </row>
    <row r="92" spans="1:5">
      <c r="A92">
        <f t="shared" si="5"/>
        <v>79</v>
      </c>
      <c r="B92" s="1">
        <f t="shared" si="6"/>
        <v>950.06830312687111</v>
      </c>
      <c r="C92" s="1">
        <f t="shared" si="7"/>
        <v>694.16470317737867</v>
      </c>
      <c r="D92" s="1">
        <f t="shared" si="8"/>
        <v>255.9035999494925</v>
      </c>
      <c r="E92" s="1">
        <f t="shared" si="9"/>
        <v>33426.315290088292</v>
      </c>
    </row>
    <row r="93" spans="1:5">
      <c r="A93">
        <f t="shared" si="5"/>
        <v>80</v>
      </c>
      <c r="B93" s="1">
        <f t="shared" si="6"/>
        <v>950.06830312687111</v>
      </c>
      <c r="C93" s="1">
        <f t="shared" si="7"/>
        <v>699.37093845120899</v>
      </c>
      <c r="D93" s="1">
        <f t="shared" si="8"/>
        <v>250.69736467566219</v>
      </c>
      <c r="E93" s="1">
        <f t="shared" si="9"/>
        <v>32726.944351637085</v>
      </c>
    </row>
    <row r="94" spans="1:5">
      <c r="A94">
        <f t="shared" si="5"/>
        <v>81</v>
      </c>
      <c r="B94" s="1">
        <f t="shared" si="6"/>
        <v>950.06830312687111</v>
      </c>
      <c r="C94" s="1">
        <f t="shared" si="7"/>
        <v>704.61622048959293</v>
      </c>
      <c r="D94" s="1">
        <f t="shared" si="8"/>
        <v>245.45208263727812</v>
      </c>
      <c r="E94" s="1">
        <f t="shared" si="9"/>
        <v>32022.328131147493</v>
      </c>
    </row>
    <row r="95" spans="1:5">
      <c r="A95">
        <f t="shared" si="5"/>
        <v>82</v>
      </c>
      <c r="B95" s="1">
        <f t="shared" si="6"/>
        <v>950.06830312687111</v>
      </c>
      <c r="C95" s="1">
        <f t="shared" si="7"/>
        <v>709.90084214326498</v>
      </c>
      <c r="D95" s="1">
        <f t="shared" si="8"/>
        <v>240.16746098360619</v>
      </c>
      <c r="E95" s="1">
        <f t="shared" si="9"/>
        <v>31312.427289004227</v>
      </c>
    </row>
    <row r="96" spans="1:5">
      <c r="A96">
        <f t="shared" si="5"/>
        <v>83</v>
      </c>
      <c r="B96" s="1">
        <f t="shared" si="6"/>
        <v>950.06830312687111</v>
      </c>
      <c r="C96" s="1">
        <f t="shared" si="7"/>
        <v>715.22509845933939</v>
      </c>
      <c r="D96" s="1">
        <f t="shared" si="8"/>
        <v>234.84320466753169</v>
      </c>
      <c r="E96" s="1">
        <f t="shared" si="9"/>
        <v>30597.202190544886</v>
      </c>
    </row>
    <row r="97" spans="1:5">
      <c r="A97">
        <f t="shared" si="5"/>
        <v>84</v>
      </c>
      <c r="B97" s="1">
        <f t="shared" si="6"/>
        <v>950.06830312687111</v>
      </c>
      <c r="C97" s="1">
        <f t="shared" si="7"/>
        <v>720.58928669778447</v>
      </c>
      <c r="D97" s="1">
        <f t="shared" si="8"/>
        <v>229.47901642908664</v>
      </c>
      <c r="E97" s="1">
        <f t="shared" si="9"/>
        <v>29876.612903847101</v>
      </c>
    </row>
    <row r="98" spans="1:5">
      <c r="A98">
        <f t="shared" si="5"/>
        <v>85</v>
      </c>
      <c r="B98" s="1">
        <f t="shared" si="6"/>
        <v>950.06830312687111</v>
      </c>
      <c r="C98" s="1">
        <f t="shared" si="7"/>
        <v>725.99370634801789</v>
      </c>
      <c r="D98" s="1">
        <f t="shared" si="8"/>
        <v>224.07459677885325</v>
      </c>
      <c r="E98" s="1">
        <f t="shared" si="9"/>
        <v>29150.619197499083</v>
      </c>
    </row>
    <row r="99" spans="1:5">
      <c r="A99">
        <f t="shared" si="5"/>
        <v>86</v>
      </c>
      <c r="B99" s="1">
        <f t="shared" si="6"/>
        <v>950.06830312687111</v>
      </c>
      <c r="C99" s="1">
        <f t="shared" si="7"/>
        <v>731.43865914562798</v>
      </c>
      <c r="D99" s="1">
        <f t="shared" si="8"/>
        <v>218.62964398124311</v>
      </c>
      <c r="E99" s="1">
        <f t="shared" si="9"/>
        <v>28419.180538353456</v>
      </c>
    </row>
    <row r="100" spans="1:5">
      <c r="A100">
        <f t="shared" si="5"/>
        <v>87</v>
      </c>
      <c r="B100" s="1">
        <f t="shared" si="6"/>
        <v>950.06830312687111</v>
      </c>
      <c r="C100" s="1">
        <f t="shared" si="7"/>
        <v>736.92444908922016</v>
      </c>
      <c r="D100" s="1">
        <f t="shared" si="8"/>
        <v>213.1438540376509</v>
      </c>
      <c r="E100" s="1">
        <f t="shared" si="9"/>
        <v>27682.256089264236</v>
      </c>
    </row>
    <row r="101" spans="1:5">
      <c r="A101">
        <f t="shared" si="5"/>
        <v>88</v>
      </c>
      <c r="B101" s="1">
        <f t="shared" si="6"/>
        <v>950.06830312687111</v>
      </c>
      <c r="C101" s="1">
        <f t="shared" si="7"/>
        <v>742.4513824573894</v>
      </c>
      <c r="D101" s="1">
        <f t="shared" si="8"/>
        <v>207.61692066948177</v>
      </c>
      <c r="E101" s="1">
        <f t="shared" si="9"/>
        <v>26939.804706806848</v>
      </c>
    </row>
    <row r="102" spans="1:5">
      <c r="A102">
        <f t="shared" si="5"/>
        <v>89</v>
      </c>
      <c r="B102" s="1">
        <f t="shared" si="6"/>
        <v>950.06830312687111</v>
      </c>
      <c r="C102" s="1">
        <f t="shared" si="7"/>
        <v>748.01976782581983</v>
      </c>
      <c r="D102" s="1">
        <f t="shared" si="8"/>
        <v>202.04853530105134</v>
      </c>
      <c r="E102" s="1">
        <f t="shared" si="9"/>
        <v>26191.784938981029</v>
      </c>
    </row>
    <row r="103" spans="1:5">
      <c r="A103">
        <f t="shared" si="5"/>
        <v>90</v>
      </c>
      <c r="B103" s="1">
        <f t="shared" si="6"/>
        <v>950.06830312687111</v>
      </c>
      <c r="C103" s="1">
        <f t="shared" si="7"/>
        <v>753.62991608451341</v>
      </c>
      <c r="D103" s="1">
        <f t="shared" si="8"/>
        <v>196.4383870423577</v>
      </c>
      <c r="E103" s="1">
        <f t="shared" si="9"/>
        <v>25438.155022896517</v>
      </c>
    </row>
    <row r="104" spans="1:5">
      <c r="A104">
        <f t="shared" si="5"/>
        <v>91</v>
      </c>
      <c r="B104" s="1">
        <f t="shared" si="6"/>
        <v>950.06830312687111</v>
      </c>
      <c r="C104" s="1">
        <f t="shared" si="7"/>
        <v>759.28214045514721</v>
      </c>
      <c r="D104" s="1">
        <f t="shared" si="8"/>
        <v>190.78616267172387</v>
      </c>
      <c r="E104" s="1">
        <f t="shared" si="9"/>
        <v>24678.87288244137</v>
      </c>
    </row>
    <row r="105" spans="1:5">
      <c r="A105">
        <f t="shared" si="5"/>
        <v>92</v>
      </c>
      <c r="B105" s="1">
        <f t="shared" si="6"/>
        <v>950.06830312687111</v>
      </c>
      <c r="C105" s="1">
        <f t="shared" si="7"/>
        <v>764.97675650856081</v>
      </c>
      <c r="D105" s="1">
        <f t="shared" si="8"/>
        <v>185.09154661831028</v>
      </c>
      <c r="E105" s="1">
        <f t="shared" si="9"/>
        <v>23913.89612593281</v>
      </c>
    </row>
    <row r="106" spans="1:5">
      <c r="A106">
        <f t="shared" si="5"/>
        <v>93</v>
      </c>
      <c r="B106" s="1">
        <f t="shared" si="6"/>
        <v>950.06830312687111</v>
      </c>
      <c r="C106" s="1">
        <f t="shared" si="7"/>
        <v>770.71408218237502</v>
      </c>
      <c r="D106" s="1">
        <f t="shared" si="8"/>
        <v>179.35422094449606</v>
      </c>
      <c r="E106" s="1">
        <f t="shared" si="9"/>
        <v>23143.182043750436</v>
      </c>
    </row>
    <row r="107" spans="1:5">
      <c r="A107">
        <f t="shared" si="5"/>
        <v>94</v>
      </c>
      <c r="B107" s="1">
        <f t="shared" si="6"/>
        <v>950.06830312687111</v>
      </c>
      <c r="C107" s="1">
        <f t="shared" si="7"/>
        <v>776.49443779874287</v>
      </c>
      <c r="D107" s="1">
        <f t="shared" si="8"/>
        <v>173.57386532812825</v>
      </c>
      <c r="E107" s="1">
        <f t="shared" si="9"/>
        <v>22366.687605951694</v>
      </c>
    </row>
    <row r="108" spans="1:5">
      <c r="A108">
        <f t="shared" si="5"/>
        <v>95</v>
      </c>
      <c r="B108" s="1">
        <f t="shared" si="6"/>
        <v>950.06830312687111</v>
      </c>
      <c r="C108" s="1">
        <f t="shared" si="7"/>
        <v>782.3181460822334</v>
      </c>
      <c r="D108" s="1">
        <f t="shared" si="8"/>
        <v>167.75015704463769</v>
      </c>
      <c r="E108" s="1">
        <f t="shared" si="9"/>
        <v>21584.36945986946</v>
      </c>
    </row>
    <row r="109" spans="1:5">
      <c r="A109">
        <f t="shared" si="5"/>
        <v>96</v>
      </c>
      <c r="B109" s="1">
        <f t="shared" si="6"/>
        <v>950.06830312687111</v>
      </c>
      <c r="C109" s="1">
        <f t="shared" si="7"/>
        <v>788.18553217785018</v>
      </c>
      <c r="D109" s="1">
        <f t="shared" si="8"/>
        <v>161.88277094902094</v>
      </c>
      <c r="E109" s="1">
        <f t="shared" si="9"/>
        <v>20796.183927691611</v>
      </c>
    </row>
    <row r="110" spans="1:5">
      <c r="A110">
        <f t="shared" si="5"/>
        <v>97</v>
      </c>
      <c r="B110" s="1">
        <f t="shared" si="6"/>
        <v>950.06830312687111</v>
      </c>
      <c r="C110" s="1">
        <f t="shared" si="7"/>
        <v>794.09692366918398</v>
      </c>
      <c r="D110" s="1">
        <f t="shared" si="8"/>
        <v>155.97137945768708</v>
      </c>
      <c r="E110" s="1">
        <f t="shared" si="9"/>
        <v>20002.087004022425</v>
      </c>
    </row>
    <row r="111" spans="1:5">
      <c r="A111">
        <f t="shared" si="5"/>
        <v>98</v>
      </c>
      <c r="B111" s="1">
        <f t="shared" si="6"/>
        <v>950.06830312687111</v>
      </c>
      <c r="C111" s="1">
        <f t="shared" si="7"/>
        <v>800.05265059670296</v>
      </c>
      <c r="D111" s="1">
        <f t="shared" si="8"/>
        <v>150.01565253016818</v>
      </c>
      <c r="E111" s="1">
        <f t="shared" si="9"/>
        <v>19202.034353425723</v>
      </c>
    </row>
    <row r="112" spans="1:5">
      <c r="A112">
        <f t="shared" si="5"/>
        <v>99</v>
      </c>
      <c r="B112" s="1">
        <f t="shared" si="6"/>
        <v>950.06830312687111</v>
      </c>
      <c r="C112" s="1">
        <f t="shared" si="7"/>
        <v>806.05304547617823</v>
      </c>
      <c r="D112" s="1">
        <f t="shared" si="8"/>
        <v>144.01525765069292</v>
      </c>
      <c r="E112" s="1">
        <f t="shared" si="9"/>
        <v>18395.981307949543</v>
      </c>
    </row>
    <row r="113" spans="1:5">
      <c r="A113">
        <f t="shared" si="5"/>
        <v>100</v>
      </c>
      <c r="B113" s="1">
        <f t="shared" si="6"/>
        <v>950.06830312687111</v>
      </c>
      <c r="C113" s="1">
        <f t="shared" si="7"/>
        <v>812.09844331724958</v>
      </c>
      <c r="D113" s="1">
        <f t="shared" si="8"/>
        <v>137.96985980962157</v>
      </c>
      <c r="E113" s="1">
        <f t="shared" si="9"/>
        <v>17583.882864632295</v>
      </c>
    </row>
    <row r="114" spans="1:5">
      <c r="A114">
        <f t="shared" si="5"/>
        <v>101</v>
      </c>
      <c r="B114" s="1">
        <f t="shared" si="6"/>
        <v>950.06830312687111</v>
      </c>
      <c r="C114" s="1">
        <f t="shared" si="7"/>
        <v>818.18918164212891</v>
      </c>
      <c r="D114" s="1">
        <f t="shared" si="8"/>
        <v>131.8791214847422</v>
      </c>
      <c r="E114" s="1">
        <f t="shared" si="9"/>
        <v>16765.693682990164</v>
      </c>
    </row>
    <row r="115" spans="1:5">
      <c r="A115">
        <f t="shared" si="5"/>
        <v>102</v>
      </c>
      <c r="B115" s="1">
        <f t="shared" si="6"/>
        <v>950.06830312687111</v>
      </c>
      <c r="C115" s="1">
        <f t="shared" si="7"/>
        <v>824.32560050444488</v>
      </c>
      <c r="D115" s="1">
        <f t="shared" si="8"/>
        <v>125.74270262242622</v>
      </c>
      <c r="E115" s="1">
        <f t="shared" si="9"/>
        <v>15941.36808248572</v>
      </c>
    </row>
    <row r="116" spans="1:5">
      <c r="A116">
        <f t="shared" si="5"/>
        <v>103</v>
      </c>
      <c r="B116" s="1">
        <f t="shared" si="6"/>
        <v>950.06830312687111</v>
      </c>
      <c r="C116" s="1">
        <f t="shared" si="7"/>
        <v>830.50804250822819</v>
      </c>
      <c r="D116" s="1">
        <f t="shared" si="8"/>
        <v>119.5602606186429</v>
      </c>
      <c r="E116" s="1">
        <f t="shared" si="9"/>
        <v>15110.860039977491</v>
      </c>
    </row>
    <row r="117" spans="1:5">
      <c r="A117">
        <f t="shared" si="5"/>
        <v>104</v>
      </c>
      <c r="B117" s="1">
        <f t="shared" si="6"/>
        <v>950.06830312687111</v>
      </c>
      <c r="C117" s="1">
        <f t="shared" si="7"/>
        <v>836.73685282703991</v>
      </c>
      <c r="D117" s="1">
        <f t="shared" si="8"/>
        <v>113.33145029983118</v>
      </c>
      <c r="E117" s="1">
        <f t="shared" si="9"/>
        <v>14274.123187150451</v>
      </c>
    </row>
    <row r="118" spans="1:5">
      <c r="A118">
        <f t="shared" si="5"/>
        <v>105</v>
      </c>
      <c r="B118" s="1">
        <f t="shared" si="6"/>
        <v>950.06830312687111</v>
      </c>
      <c r="C118" s="1">
        <f t="shared" si="7"/>
        <v>843.01237922324276</v>
      </c>
      <c r="D118" s="1">
        <f t="shared" si="8"/>
        <v>107.05592390362838</v>
      </c>
      <c r="E118" s="1">
        <f t="shared" si="9"/>
        <v>13431.110807927209</v>
      </c>
    </row>
    <row r="119" spans="1:5">
      <c r="A119">
        <f t="shared" si="5"/>
        <v>106</v>
      </c>
      <c r="B119" s="1">
        <f t="shared" si="6"/>
        <v>950.06830312687111</v>
      </c>
      <c r="C119" s="1">
        <f t="shared" si="7"/>
        <v>849.33497206741708</v>
      </c>
      <c r="D119" s="1">
        <f t="shared" si="8"/>
        <v>100.73333105945406</v>
      </c>
      <c r="E119" s="1">
        <f t="shared" si="9"/>
        <v>12581.775835859791</v>
      </c>
    </row>
    <row r="120" spans="1:5">
      <c r="A120">
        <f t="shared" si="5"/>
        <v>107</v>
      </c>
      <c r="B120" s="1">
        <f t="shared" si="6"/>
        <v>950.06830312687111</v>
      </c>
      <c r="C120" s="1">
        <f t="shared" si="7"/>
        <v>855.70498435792274</v>
      </c>
      <c r="D120" s="1">
        <f t="shared" si="8"/>
        <v>94.363318768948432</v>
      </c>
      <c r="E120" s="1">
        <f t="shared" si="9"/>
        <v>11726.070851501869</v>
      </c>
    </row>
    <row r="121" spans="1:5">
      <c r="A121">
        <f t="shared" si="5"/>
        <v>108</v>
      </c>
      <c r="B121" s="1">
        <f t="shared" si="6"/>
        <v>950.06830312687111</v>
      </c>
      <c r="C121" s="1">
        <f t="shared" si="7"/>
        <v>862.12277174060705</v>
      </c>
      <c r="D121" s="1">
        <f t="shared" si="8"/>
        <v>87.945531386264008</v>
      </c>
      <c r="E121" s="1">
        <f t="shared" si="9"/>
        <v>10863.948079761261</v>
      </c>
    </row>
    <row r="122" spans="1:5">
      <c r="A122">
        <f t="shared" si="5"/>
        <v>109</v>
      </c>
      <c r="B122" s="1">
        <f t="shared" si="6"/>
        <v>950.06830312687111</v>
      </c>
      <c r="C122" s="1">
        <f t="shared" si="7"/>
        <v>868.58869252866168</v>
      </c>
      <c r="D122" s="1">
        <f t="shared" si="8"/>
        <v>81.479610598209462</v>
      </c>
      <c r="E122" s="1">
        <f t="shared" si="9"/>
        <v>9995.3593872326001</v>
      </c>
    </row>
    <row r="123" spans="1:5">
      <c r="A123">
        <f t="shared" si="5"/>
        <v>110</v>
      </c>
      <c r="B123" s="1">
        <f t="shared" si="6"/>
        <v>950.06830312687111</v>
      </c>
      <c r="C123" s="1">
        <f t="shared" si="7"/>
        <v>875.10310772262665</v>
      </c>
      <c r="D123" s="1">
        <f t="shared" si="8"/>
        <v>74.965195404244497</v>
      </c>
      <c r="E123" s="1">
        <f t="shared" si="9"/>
        <v>9120.256279509973</v>
      </c>
    </row>
    <row r="124" spans="1:5">
      <c r="A124">
        <f t="shared" si="5"/>
        <v>111</v>
      </c>
      <c r="B124" s="1">
        <f t="shared" si="6"/>
        <v>950.06830312687111</v>
      </c>
      <c r="C124" s="1">
        <f t="shared" si="7"/>
        <v>881.66638103054629</v>
      </c>
      <c r="D124" s="1">
        <f t="shared" si="8"/>
        <v>68.401922096324796</v>
      </c>
      <c r="E124" s="1">
        <f t="shared" si="9"/>
        <v>8238.5898984794258</v>
      </c>
    </row>
    <row r="125" spans="1:5">
      <c r="A125">
        <f t="shared" si="5"/>
        <v>112</v>
      </c>
      <c r="B125" s="1">
        <f t="shared" si="6"/>
        <v>950.06830312687111</v>
      </c>
      <c r="C125" s="1">
        <f t="shared" si="7"/>
        <v>888.27887888827547</v>
      </c>
      <c r="D125" s="1">
        <f t="shared" si="8"/>
        <v>61.789424238595693</v>
      </c>
      <c r="E125" s="1">
        <f t="shared" si="9"/>
        <v>7350.3110195911504</v>
      </c>
    </row>
    <row r="126" spans="1:5">
      <c r="A126">
        <f t="shared" si="5"/>
        <v>113</v>
      </c>
      <c r="B126" s="1">
        <f t="shared" si="6"/>
        <v>950.06830312687111</v>
      </c>
      <c r="C126" s="1">
        <f t="shared" si="7"/>
        <v>894.9409704799375</v>
      </c>
      <c r="D126" s="1">
        <f t="shared" si="8"/>
        <v>55.127332646933624</v>
      </c>
      <c r="E126" s="1">
        <f t="shared" si="9"/>
        <v>6455.3700491112131</v>
      </c>
    </row>
    <row r="127" spans="1:5">
      <c r="A127">
        <f t="shared" si="5"/>
        <v>114</v>
      </c>
      <c r="B127" s="1">
        <f t="shared" si="6"/>
        <v>950.06830312687111</v>
      </c>
      <c r="C127" s="1">
        <f t="shared" si="7"/>
        <v>901.65302775853706</v>
      </c>
      <c r="D127" s="1">
        <f t="shared" si="8"/>
        <v>48.415275368334093</v>
      </c>
      <c r="E127" s="1">
        <f t="shared" si="9"/>
        <v>5553.7170213526761</v>
      </c>
    </row>
    <row r="128" spans="1:5">
      <c r="A128">
        <f t="shared" si="5"/>
        <v>115</v>
      </c>
      <c r="B128" s="1">
        <f t="shared" si="6"/>
        <v>950.06830312687111</v>
      </c>
      <c r="C128" s="1">
        <f t="shared" si="7"/>
        <v>908.41542546672599</v>
      </c>
      <c r="D128" s="1">
        <f t="shared" si="8"/>
        <v>41.652877660145066</v>
      </c>
      <c r="E128" s="1">
        <f t="shared" si="9"/>
        <v>4645.3015958859505</v>
      </c>
    </row>
    <row r="129" spans="1:5">
      <c r="A129">
        <f t="shared" si="5"/>
        <v>116</v>
      </c>
      <c r="B129" s="1">
        <f t="shared" si="6"/>
        <v>950.06830312687111</v>
      </c>
      <c r="C129" s="1">
        <f t="shared" si="7"/>
        <v>915.22854115772645</v>
      </c>
      <c r="D129" s="1">
        <f t="shared" si="8"/>
        <v>34.839761969144625</v>
      </c>
      <c r="E129" s="1">
        <f t="shared" si="9"/>
        <v>3730.0730547282242</v>
      </c>
    </row>
    <row r="130" spans="1:5">
      <c r="A130">
        <f t="shared" si="5"/>
        <v>117</v>
      </c>
      <c r="B130" s="1">
        <f t="shared" si="6"/>
        <v>950.06830312687111</v>
      </c>
      <c r="C130" s="1">
        <f t="shared" si="7"/>
        <v>922.09275521640939</v>
      </c>
      <c r="D130" s="1">
        <f t="shared" si="8"/>
        <v>27.975547910461682</v>
      </c>
      <c r="E130" s="1">
        <f t="shared" si="9"/>
        <v>2807.9802995118148</v>
      </c>
    </row>
    <row r="131" spans="1:5">
      <c r="A131">
        <f t="shared" si="5"/>
        <v>118</v>
      </c>
      <c r="B131" s="1">
        <f t="shared" si="6"/>
        <v>950.06830312687111</v>
      </c>
      <c r="C131" s="1">
        <f t="shared" si="7"/>
        <v>929.00845088053245</v>
      </c>
      <c r="D131" s="1">
        <f t="shared" si="8"/>
        <v>21.059852246338611</v>
      </c>
      <c r="E131" s="1">
        <f t="shared" si="9"/>
        <v>1878.9718486312822</v>
      </c>
    </row>
    <row r="132" spans="1:5">
      <c r="A132">
        <f t="shared" si="5"/>
        <v>119</v>
      </c>
      <c r="B132" s="1">
        <f t="shared" si="6"/>
        <v>950.06830312687111</v>
      </c>
      <c r="C132" s="1">
        <f t="shared" si="7"/>
        <v>935.97601426213646</v>
      </c>
      <c r="D132" s="1">
        <f t="shared" si="8"/>
        <v>14.092288864734616</v>
      </c>
      <c r="E132" s="1">
        <f t="shared" si="9"/>
        <v>942.99583436914577</v>
      </c>
    </row>
    <row r="133" spans="1:5">
      <c r="A133">
        <f t="shared" si="5"/>
        <v>120</v>
      </c>
      <c r="B133" s="1">
        <f t="shared" si="6"/>
        <v>950.06830312687111</v>
      </c>
      <c r="C133" s="1">
        <f t="shared" si="7"/>
        <v>942.99583436910257</v>
      </c>
      <c r="D133" s="1">
        <f t="shared" si="8"/>
        <v>7.0724687577685934</v>
      </c>
      <c r="E133" s="1">
        <f t="shared" si="9"/>
        <v>4.3200998334214091E-11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9" sqref="V9"/>
    </sheetView>
  </sheetViews>
  <sheetFormatPr defaultRowHeight="15"/>
  <cols>
    <col min="5" max="5" width="18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T9" sqref="T9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695817.51555583265</v>
      </c>
      <c r="H7" s="94">
        <f>'Profit and Loss Statement'!F21/'Profit and Loss Statement'!F8</f>
        <v>726115.23952630453</v>
      </c>
      <c r="I7" s="94">
        <f>'Profit and Loss Statement'!G21/'Profit and Loss Statement'!G8</f>
        <v>756452.52142764558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695817.51555583265</v>
      </c>
      <c r="H11" s="114">
        <f t="shared" ref="H11:K11" si="0">H7</f>
        <v>726115.23952630453</v>
      </c>
      <c r="I11" s="114">
        <f t="shared" si="0"/>
        <v>756452.52142764558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C39" sqref="C39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0.84436090225563909</v>
      </c>
      <c r="G9" s="104">
        <f>'Profit and Loss Statement'!F8</f>
        <v>0.84436090225563909</v>
      </c>
      <c r="H9" s="101">
        <f>'Profit and Loss Statement'!G8</f>
        <v>0.84436090225563909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0.15349635255156191</v>
      </c>
      <c r="G12" s="101">
        <f>'Profit and Loss Statement'!F28/'Profit and Loss Statement'!F6</f>
        <v>0.21114370891462628</v>
      </c>
      <c r="H12" s="101">
        <f>'Profit and Loss Statement'!G28/'Profit and Loss Statement'!G6</f>
        <v>0.24741612308659286</v>
      </c>
      <c r="I12" s="129"/>
      <c r="J12" s="129"/>
    </row>
    <row r="13" spans="5:10">
      <c r="E13" s="66" t="s">
        <v>92</v>
      </c>
      <c r="F13" s="105">
        <f>'Balance Sheet'!E10/'Balance Sheet'!E15</f>
        <v>1.7793191122410015</v>
      </c>
      <c r="G13" s="105">
        <f>'Balance Sheet'!F10/'Balance Sheet'!F15</f>
        <v>2.8722411283032203</v>
      </c>
      <c r="H13" s="105">
        <f>'Balance Sheet'!G10/'Balance Sheet'!G15</f>
        <v>4.5631400377999887</v>
      </c>
      <c r="I13" s="130"/>
      <c r="J13" s="130"/>
    </row>
    <row r="14" spans="5:10">
      <c r="E14" s="66" t="s">
        <v>93</v>
      </c>
      <c r="F14" s="105">
        <f>'Balance Sheet'!E17/'Balance Sheet'!E15</f>
        <v>0.77931911224100137</v>
      </c>
      <c r="G14" s="105">
        <f>'Balance Sheet'!F17/'Balance Sheet'!F15</f>
        <v>1.8722411283032201</v>
      </c>
      <c r="H14" s="105">
        <f>'Balance Sheet'!G17/'Balance Sheet'!G15</f>
        <v>3.5631400377999882</v>
      </c>
      <c r="I14" s="130"/>
      <c r="J14" s="130"/>
    </row>
    <row r="15" spans="5:10">
      <c r="E15" s="66" t="s">
        <v>94</v>
      </c>
      <c r="F15" s="105">
        <f>'Balance Sheet'!E10/'Balance Sheet'!E17</f>
        <v>2.2831714047463962</v>
      </c>
      <c r="G15" s="105">
        <f>'Balance Sheet'!F10/'Balance Sheet'!F17</f>
        <v>1.5341192354353859</v>
      </c>
      <c r="H15" s="105">
        <f>'Balance Sheet'!G10/'Balance Sheet'!G17</f>
        <v>1.2806513326423836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0.60051309210611181</v>
      </c>
      <c r="G18" s="105">
        <f>'Balance Sheet'!F7/'Balance Sheet'!F10</f>
        <v>0.76498851372335486</v>
      </c>
      <c r="H18" s="105">
        <f>'Balance Sheet'!G7/'Balance Sheet'!G10</f>
        <v>0.85997942489287693</v>
      </c>
      <c r="I18" s="130"/>
      <c r="J18" s="130"/>
    </row>
    <row r="19" spans="5:10">
      <c r="E19" s="66" t="s">
        <v>96</v>
      </c>
      <c r="F19" s="105">
        <f>'Balance Sheet'!E7/'Balance Sheet'!E15</f>
        <v>1.0685044219353454</v>
      </c>
      <c r="G19" s="105">
        <f>'Balance Sheet'!F7/'Balance Sheet'!F15</f>
        <v>2.1972314717957722</v>
      </c>
      <c r="H19" s="105">
        <f>'Balance Sheet'!G7/'Balance Sheet'!G15</f>
        <v>3.9242065454128947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L30" sqref="L30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100000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117</v>
      </c>
      <c r="C6" s="14">
        <v>75000</v>
      </c>
      <c r="G6" s="4" t="str">
        <f>B5</f>
        <v>Senior Management</v>
      </c>
      <c r="H6" s="14">
        <f t="shared" ref="H6:H15" si="0">H18*C5</f>
        <v>100000</v>
      </c>
      <c r="I6" s="14">
        <f t="shared" ref="I6:I15" si="1">D58*I18</f>
        <v>103000</v>
      </c>
      <c r="J6" s="14">
        <f t="shared" ref="J6:J15" si="2">E58*J18</f>
        <v>106090</v>
      </c>
      <c r="M6" s="118"/>
      <c r="N6" s="118"/>
    </row>
    <row r="7" spans="2:14">
      <c r="B7" s="4" t="s">
        <v>128</v>
      </c>
      <c r="C7" s="14">
        <v>35000</v>
      </c>
      <c r="G7" s="4" t="str">
        <f>B6</f>
        <v>Operational Managers</v>
      </c>
      <c r="H7" s="14">
        <f t="shared" si="0"/>
        <v>75000</v>
      </c>
      <c r="I7" s="14">
        <f t="shared" si="1"/>
        <v>77250</v>
      </c>
      <c r="J7" s="14">
        <f t="shared" si="2"/>
        <v>79567.5</v>
      </c>
      <c r="M7" s="118"/>
      <c r="N7" s="118"/>
    </row>
    <row r="8" spans="2:14">
      <c r="B8" s="4" t="s">
        <v>126</v>
      </c>
      <c r="C8" s="14">
        <v>37500</v>
      </c>
      <c r="G8" s="4" t="str">
        <f>B7</f>
        <v>Technicians</v>
      </c>
      <c r="H8" s="14">
        <f t="shared" si="0"/>
        <v>210000</v>
      </c>
      <c r="I8" s="14">
        <f t="shared" si="1"/>
        <v>216300</v>
      </c>
      <c r="J8" s="14">
        <f t="shared" si="2"/>
        <v>222789</v>
      </c>
      <c r="M8" s="118"/>
      <c r="N8" s="118"/>
    </row>
    <row r="9" spans="2:14">
      <c r="B9" s="4" t="s">
        <v>127</v>
      </c>
      <c r="C9" s="14">
        <v>45000</v>
      </c>
      <c r="G9" s="4" t="str">
        <f>B8</f>
        <v>Accountant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8"/>
      <c r="N9" s="118"/>
    </row>
    <row r="10" spans="2:14">
      <c r="B10" s="4" t="s">
        <v>119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8"/>
      <c r="N10" s="118"/>
    </row>
    <row r="11" spans="2:14">
      <c r="B11" s="4" t="s">
        <v>139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140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141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123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467500</v>
      </c>
      <c r="I16" s="9">
        <f t="shared" ref="I16:J16" si="3">SUM(I6:I15)</f>
        <v>481525</v>
      </c>
      <c r="J16" s="9">
        <f t="shared" si="3"/>
        <v>495970.75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Technicians</v>
      </c>
      <c r="H20" s="4">
        <f t="shared" si="4"/>
        <v>6</v>
      </c>
      <c r="I20" s="4">
        <f t="shared" si="5"/>
        <v>6</v>
      </c>
      <c r="J20" s="4">
        <f t="shared" si="6"/>
        <v>6</v>
      </c>
      <c r="M20" s="30"/>
      <c r="N20" s="30"/>
    </row>
    <row r="21" spans="2:20">
      <c r="G21" s="4" t="str">
        <f>G9</f>
        <v>Accountant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Technicians</v>
      </c>
      <c r="C26" s="5">
        <v>6</v>
      </c>
      <c r="D26" s="5">
        <v>6</v>
      </c>
      <c r="E26" s="5">
        <v>6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Accountant</v>
      </c>
      <c r="C27" s="5">
        <v>1</v>
      </c>
      <c r="D27" s="5">
        <v>1</v>
      </c>
      <c r="E27" s="5">
        <v>1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10</v>
      </c>
      <c r="I28" s="10">
        <f t="shared" ref="I28:J28" si="8">SUM(I18:I27)</f>
        <v>10</v>
      </c>
      <c r="J28" s="10">
        <f t="shared" si="8"/>
        <v>10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119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120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121</v>
      </c>
      <c r="C31" s="5"/>
      <c r="D31" s="5"/>
      <c r="E31" s="5"/>
      <c r="L31" s="112" t="str">
        <f>G6</f>
        <v>Senior Management</v>
      </c>
      <c r="M31" s="113">
        <f>J6/$J$16</f>
        <v>0.21390374331550802</v>
      </c>
      <c r="O31" s="115"/>
      <c r="P31" s="115"/>
      <c r="Q31" s="115"/>
      <c r="R31" s="115"/>
      <c r="S31" s="115"/>
      <c r="T31" s="115"/>
    </row>
    <row r="32" spans="2:20">
      <c r="B32" s="15" t="s">
        <v>122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0.16042780748663102</v>
      </c>
      <c r="O32" s="115"/>
      <c r="P32" s="115"/>
      <c r="Q32" s="115"/>
      <c r="T32" s="115"/>
    </row>
    <row r="33" spans="2:20">
      <c r="B33" s="15" t="s">
        <v>123</v>
      </c>
      <c r="C33" s="5"/>
      <c r="D33" s="5"/>
      <c r="E33" s="5"/>
      <c r="F33" s="30"/>
      <c r="G33" s="30"/>
      <c r="L33" s="112" t="str">
        <f>G8</f>
        <v>Technicians</v>
      </c>
      <c r="M33" s="113">
        <f>J8/$J$16</f>
        <v>0.44919786096256686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Accountant</v>
      </c>
      <c r="M34" s="113">
        <f>J9/$J$16</f>
        <v>8.0213903743315509E-2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9.6256684491978606E-2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100000</v>
      </c>
      <c r="D58" s="14">
        <f>C58*(1+$C$53)</f>
        <v>103000</v>
      </c>
      <c r="E58" s="14">
        <f>D58*(1+$C$53)</f>
        <v>106090</v>
      </c>
      <c r="F58" s="14">
        <f>E58*(1+$C$53)</f>
        <v>109272.7</v>
      </c>
      <c r="G58" s="14">
        <f>F58*(1+$C$53)</f>
        <v>112550.88099999999</v>
      </c>
    </row>
    <row r="59" spans="2:7">
      <c r="B59" s="4" t="str">
        <f t="shared" ref="B59:C67" si="9">B6</f>
        <v>Operational Managers</v>
      </c>
      <c r="C59" s="14">
        <f t="shared" si="9"/>
        <v>75000</v>
      </c>
      <c r="D59" s="14">
        <f t="shared" ref="D59:G59" si="10">C59*(1+$C$53)</f>
        <v>77250</v>
      </c>
      <c r="E59" s="14">
        <f t="shared" si="10"/>
        <v>79567.5</v>
      </c>
      <c r="F59" s="14">
        <f t="shared" si="10"/>
        <v>81954.525000000009</v>
      </c>
      <c r="G59" s="14">
        <f t="shared" si="10"/>
        <v>84413.16075000001</v>
      </c>
    </row>
    <row r="60" spans="2:7">
      <c r="B60" s="4" t="str">
        <f t="shared" si="9"/>
        <v>Technicians</v>
      </c>
      <c r="C60" s="14">
        <f t="shared" si="9"/>
        <v>35000</v>
      </c>
      <c r="D60" s="14">
        <f t="shared" ref="D60:G60" si="11">C60*(1+$C$53)</f>
        <v>36050</v>
      </c>
      <c r="E60" s="14">
        <f t="shared" si="11"/>
        <v>37131.5</v>
      </c>
      <c r="F60" s="14">
        <f t="shared" si="11"/>
        <v>38245.445</v>
      </c>
      <c r="G60" s="14">
        <f t="shared" si="11"/>
        <v>39392.808349999999</v>
      </c>
    </row>
    <row r="61" spans="2:7">
      <c r="B61" s="4" t="str">
        <f t="shared" si="9"/>
        <v>Accountant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L21" sqref="L21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Appliance Repair Services</v>
      </c>
      <c r="F6" s="94">
        <f>SUM(Inputs!C32:N32)</f>
        <v>721320</v>
      </c>
      <c r="G6" s="94">
        <f t="shared" ref="G6:H15" si="0">F6*(1+G$5)</f>
        <v>865584</v>
      </c>
      <c r="H6" s="94">
        <f t="shared" si="0"/>
        <v>995421.6</v>
      </c>
      <c r="I6" s="128"/>
      <c r="J6" s="94" t="str">
        <f>E6</f>
        <v>Appliance Repair Services</v>
      </c>
      <c r="K6" s="144">
        <f>F6/$F$16</f>
        <v>0.75187969924812037</v>
      </c>
      <c r="L6" s="144">
        <f>G6/$G$16</f>
        <v>0.75187969924812037</v>
      </c>
      <c r="M6" s="144">
        <f>H6/$H$16</f>
        <v>0.75187969924812037</v>
      </c>
    </row>
    <row r="7" spans="5:13">
      <c r="E7" s="94" t="str">
        <f>Inputs!B6</f>
        <v>Part Sales</v>
      </c>
      <c r="F7" s="94">
        <f>SUM(Inputs!C33:N33)</f>
        <v>57705.599999999999</v>
      </c>
      <c r="G7" s="94">
        <f t="shared" si="0"/>
        <v>69246.720000000001</v>
      </c>
      <c r="H7" s="94">
        <f t="shared" si="0"/>
        <v>79633.727999999988</v>
      </c>
      <c r="I7" s="128"/>
      <c r="J7" s="94" t="str">
        <f t="shared" ref="J7:J15" si="1">E7</f>
        <v>Part Sales</v>
      </c>
      <c r="K7" s="144">
        <f t="shared" ref="K7:K15" si="2">F7/$F$16</f>
        <v>6.0150375939849621E-2</v>
      </c>
      <c r="L7" s="144">
        <f t="shared" ref="L7:L15" si="3">G7/$G$16</f>
        <v>6.0150375939849628E-2</v>
      </c>
      <c r="M7" s="144">
        <f t="shared" ref="M7:M15" si="4">H7/$H$16</f>
        <v>6.0150375939849621E-2</v>
      </c>
    </row>
    <row r="8" spans="5:13">
      <c r="E8" s="94" t="str">
        <f>Inputs!B7</f>
        <v>Appliance Sales</v>
      </c>
      <c r="F8" s="94">
        <f>SUM(Inputs!C34:N34)</f>
        <v>180330</v>
      </c>
      <c r="G8" s="94">
        <f t="shared" si="0"/>
        <v>216396</v>
      </c>
      <c r="H8" s="94">
        <f t="shared" si="0"/>
        <v>248855.4</v>
      </c>
      <c r="I8" s="128"/>
      <c r="J8" s="94" t="str">
        <f t="shared" si="1"/>
        <v>Appliance Sales</v>
      </c>
      <c r="K8" s="144">
        <f t="shared" si="2"/>
        <v>0.18796992481203009</v>
      </c>
      <c r="L8" s="144">
        <f t="shared" si="3"/>
        <v>0.18796992481203009</v>
      </c>
      <c r="M8" s="144">
        <f t="shared" si="4"/>
        <v>0.18796992481203009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959355.6</v>
      </c>
      <c r="G16" s="99">
        <f>SUM(G6:G15)</f>
        <v>1151226.72</v>
      </c>
      <c r="H16" s="99">
        <f>SUM(H6:H15)</f>
        <v>1323910.7279999999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Appliance Repair Services</v>
      </c>
      <c r="F21" s="94">
        <f>SUM(Inputs!C51:N51)</f>
        <v>36066</v>
      </c>
      <c r="G21" s="94">
        <f t="shared" ref="G21:H30" si="5">F21*(1+G$20)</f>
        <v>43279.199999999997</v>
      </c>
      <c r="H21" s="94">
        <f t="shared" si="5"/>
        <v>49771.079999999994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Part Sales</v>
      </c>
      <c r="F22" s="94">
        <f>SUM(Inputs!C52:N52)</f>
        <v>23082.240000000005</v>
      </c>
      <c r="G22" s="94">
        <f t="shared" si="5"/>
        <v>27698.688000000006</v>
      </c>
      <c r="H22" s="94">
        <f t="shared" si="5"/>
        <v>31853.491200000004</v>
      </c>
      <c r="I22" s="128"/>
      <c r="J22" s="128"/>
      <c r="K22" s="128"/>
      <c r="L22" s="128"/>
      <c r="M22" s="128"/>
    </row>
    <row r="23" spans="5:13">
      <c r="E23" s="94" t="str">
        <f t="shared" si="6"/>
        <v>Appliance Sales</v>
      </c>
      <c r="F23" s="94">
        <f>SUM(Inputs!C53:N53)</f>
        <v>90165</v>
      </c>
      <c r="G23" s="94">
        <f t="shared" si="5"/>
        <v>108198</v>
      </c>
      <c r="H23" s="94">
        <f t="shared" si="5"/>
        <v>124427.7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149313.24</v>
      </c>
      <c r="G31" s="100">
        <f>SUM(G21:G30)</f>
        <v>179175.88800000001</v>
      </c>
      <c r="H31" s="100">
        <f>SUM(H21:H30)</f>
        <v>206052.27120000002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W24" sqref="W24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131</v>
      </c>
      <c r="E6" s="6">
        <v>35000</v>
      </c>
    </row>
    <row r="7" spans="4:5">
      <c r="D7" s="21" t="s">
        <v>132</v>
      </c>
      <c r="E7" s="6">
        <v>10000</v>
      </c>
    </row>
    <row r="8" spans="4:5">
      <c r="D8" s="21" t="s">
        <v>133</v>
      </c>
      <c r="E8" s="6">
        <v>7500</v>
      </c>
    </row>
    <row r="9" spans="4:5">
      <c r="D9" s="21" t="s">
        <v>0</v>
      </c>
      <c r="E9" s="6">
        <v>42500</v>
      </c>
    </row>
    <row r="10" spans="4:5">
      <c r="D10" s="21" t="s">
        <v>134</v>
      </c>
      <c r="E10" s="6">
        <v>2500</v>
      </c>
    </row>
    <row r="11" spans="4:5">
      <c r="D11" s="21" t="s">
        <v>135</v>
      </c>
      <c r="E11" s="6">
        <v>1000</v>
      </c>
    </row>
    <row r="12" spans="4:5">
      <c r="D12" s="21" t="s">
        <v>136</v>
      </c>
      <c r="E12" s="6">
        <v>1500</v>
      </c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15000</v>
      </c>
    </row>
    <row r="22" spans="4:5">
      <c r="D22" s="4" t="s">
        <v>99</v>
      </c>
      <c r="E22" s="14">
        <v>75000</v>
      </c>
    </row>
    <row r="23" spans="4:5">
      <c r="D23" s="4" t="s">
        <v>100</v>
      </c>
      <c r="E23" s="14">
        <f>SUM(E21:E22)</f>
        <v>90000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U12" sqref="U12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959355.6</v>
      </c>
      <c r="F6" s="69">
        <f>'Revenue Overview'!G16</f>
        <v>1151226.72</v>
      </c>
      <c r="G6" s="81">
        <f>'Revenue Overview'!H16</f>
        <v>1323910.7279999999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149313.24</v>
      </c>
      <c r="F7" s="71">
        <f>'Revenue Overview'!G31</f>
        <v>179175.88800000001</v>
      </c>
      <c r="G7" s="80">
        <f>'Revenue Overview'!H31</f>
        <v>206052.27120000002</v>
      </c>
      <c r="H7" s="137"/>
      <c r="I7" s="137"/>
      <c r="J7" s="115"/>
      <c r="K7" s="112" t="s">
        <v>51</v>
      </c>
      <c r="L7" s="114">
        <f>E6</f>
        <v>959355.6</v>
      </c>
      <c r="M7" s="114">
        <f>F6</f>
        <v>1151226.72</v>
      </c>
      <c r="N7" s="114">
        <f>G6</f>
        <v>1323910.7279999999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0.84436090225563909</v>
      </c>
      <c r="F8" s="73">
        <f t="shared" ref="F8:G8" si="0">1-(F7/F6)</f>
        <v>0.84436090225563909</v>
      </c>
      <c r="G8" s="134">
        <f t="shared" si="0"/>
        <v>0.84436090225563909</v>
      </c>
      <c r="H8" s="139"/>
      <c r="I8" s="139"/>
      <c r="J8" s="115"/>
      <c r="K8" s="112" t="s">
        <v>76</v>
      </c>
      <c r="L8" s="114">
        <f>E6</f>
        <v>959355.6</v>
      </c>
      <c r="M8" s="114">
        <f>F6</f>
        <v>1151226.72</v>
      </c>
      <c r="N8" s="114">
        <f>G6</f>
        <v>1323910.7279999999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810042.36</v>
      </c>
      <c r="F10" s="76">
        <f t="shared" ref="F10:G10" si="1">F6-F7</f>
        <v>972050.83199999994</v>
      </c>
      <c r="G10" s="84">
        <f t="shared" si="1"/>
        <v>1117858.4567999998</v>
      </c>
      <c r="H10" s="136"/>
      <c r="I10" s="136"/>
      <c r="J10" s="115"/>
      <c r="K10" s="112" t="s">
        <v>47</v>
      </c>
      <c r="L10" s="114">
        <f>E23</f>
        <v>222521.25475999992</v>
      </c>
      <c r="M10" s="114">
        <f>F23</f>
        <v>358947.5132119999</v>
      </c>
      <c r="N10" s="114">
        <f>G23</f>
        <v>479139.52329379984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222521.25475999992</v>
      </c>
      <c r="M11" s="114">
        <f t="shared" ref="M11:N11" si="2">M10</f>
        <v>358947.5132119999</v>
      </c>
      <c r="N11" s="114">
        <f t="shared" si="2"/>
        <v>479139.52329379984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467500</v>
      </c>
      <c r="F13" s="78">
        <f>'Personnel - Editable'!I16</f>
        <v>481525</v>
      </c>
      <c r="G13" s="78">
        <f>'Personnel - Editable'!J16</f>
        <v>495970.75</v>
      </c>
      <c r="H13" s="137"/>
      <c r="I13" s="137"/>
      <c r="J13" s="115"/>
      <c r="K13" s="112" t="s">
        <v>75</v>
      </c>
      <c r="L13" s="114">
        <f>E21</f>
        <v>587521.10524000006</v>
      </c>
      <c r="M13" s="114">
        <f>F21</f>
        <v>613103.31878800003</v>
      </c>
      <c r="N13" s="114">
        <f>G21</f>
        <v>638718.93350619997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12051</v>
      </c>
      <c r="F14" s="80">
        <f>Inputs!D18</f>
        <v>12412.53</v>
      </c>
      <c r="G14" s="80">
        <f>Inputs!E18</f>
        <v>12784.905900000002</v>
      </c>
      <c r="H14" s="137"/>
      <c r="I14" s="137"/>
      <c r="J14" s="115"/>
      <c r="K14" s="112" t="s">
        <v>78</v>
      </c>
      <c r="L14" s="114">
        <f>E21</f>
        <v>587521.10524000006</v>
      </c>
      <c r="M14" s="114">
        <f>F21</f>
        <v>613103.31878800003</v>
      </c>
      <c r="N14" s="114">
        <f>G21</f>
        <v>638718.93350619997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15061.882919999998</v>
      </c>
      <c r="F15" s="78">
        <f>Inputs!D19</f>
        <v>18074.259503999998</v>
      </c>
      <c r="G15" s="78">
        <f>Inputs!E19</f>
        <v>20785.398429599998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14582.205119999999</v>
      </c>
      <c r="F16" s="80">
        <f>Inputs!D20</f>
        <v>17498.646143999998</v>
      </c>
      <c r="G16" s="80">
        <f>Inputs!E20</f>
        <v>20123.443065599997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28050</v>
      </c>
      <c r="F17" s="78">
        <f>Inputs!D21</f>
        <v>28891.5</v>
      </c>
      <c r="G17" s="78">
        <f>Inputs!E21</f>
        <v>29758.244999999999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11512.2672</v>
      </c>
      <c r="F18" s="80">
        <f>Inputs!D22</f>
        <v>13814.72064</v>
      </c>
      <c r="G18" s="80">
        <f>Inputs!E22</f>
        <v>15886.928736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3000</v>
      </c>
      <c r="F19" s="78">
        <f>Inputs!D23</f>
        <v>4050.0000000000005</v>
      </c>
      <c r="G19" s="78">
        <f>Inputs!E23</f>
        <v>5467.5000000000009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35763.75</v>
      </c>
      <c r="F20" s="80">
        <f>F13*'Tax Assumptions '!G9</f>
        <v>36836.662499999999</v>
      </c>
      <c r="G20" s="80">
        <f>G13*'Tax Assumptions '!H9</f>
        <v>37941.762374999998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587521.10524000006</v>
      </c>
      <c r="F21" s="81">
        <f t="shared" ref="F21:G21" si="3">SUM(F13:F20)</f>
        <v>613103.31878800003</v>
      </c>
      <c r="G21" s="81">
        <f t="shared" si="3"/>
        <v>638718.93350619997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222521.25475999992</v>
      </c>
      <c r="F23" s="83">
        <f t="shared" ref="F23:G23" si="4">F10-F21</f>
        <v>358947.5132119999</v>
      </c>
      <c r="G23" s="83">
        <f t="shared" si="4"/>
        <v>479139.52329379984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52591.994785684001</v>
      </c>
      <c r="F24" s="78">
        <f>(F23-F26-F27)*'Tax Assumptions '!G7</f>
        <v>86812.242665149985</v>
      </c>
      <c r="G24" s="78">
        <f>(G23-G26-G27)*'Tax Assumptions '!H7</f>
        <v>116984.59272661024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10518.3989571368</v>
      </c>
      <c r="F25" s="80">
        <f>(F23-F26-F27)*'Tax Assumptions '!G8</f>
        <v>17362.448533029998</v>
      </c>
      <c r="G25" s="80">
        <f>(G23-G26-G27)*'Tax Assumptions '!H8</f>
        <v>23396.918545322049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6553.2756172639274</v>
      </c>
      <c r="F26" s="78">
        <f>SUM('Loan Amortization Table'!D26:D37)</f>
        <v>6098.5425513999517</v>
      </c>
      <c r="G26" s="78">
        <f>SUM('Loan Amortization Table'!D38:D49)</f>
        <v>5601.1523873588603</v>
      </c>
      <c r="H26" s="128"/>
      <c r="I26" s="128"/>
    </row>
    <row r="27" spans="4:21">
      <c r="D27" s="70" t="s">
        <v>54</v>
      </c>
      <c r="E27" s="80">
        <v>5600</v>
      </c>
      <c r="F27" s="80">
        <v>5600</v>
      </c>
      <c r="G27" s="80">
        <v>5600</v>
      </c>
      <c r="H27" s="128"/>
      <c r="I27" s="128"/>
    </row>
    <row r="28" spans="4:21">
      <c r="D28" s="82" t="s">
        <v>17</v>
      </c>
      <c r="E28" s="83">
        <f>E23-SUM(E24:E27)</f>
        <v>147257.5853999152</v>
      </c>
      <c r="F28" s="83">
        <f t="shared" ref="F28:G28" si="5">F23-SUM(F24:F27)</f>
        <v>243074.27946241997</v>
      </c>
      <c r="G28" s="83">
        <f t="shared" si="5"/>
        <v>327556.85963450873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959355.6</v>
      </c>
      <c r="F32" s="69">
        <f t="shared" ref="F32:G32" si="6">F6</f>
        <v>1151226.72</v>
      </c>
      <c r="G32" s="81">
        <f t="shared" si="6"/>
        <v>1323910.7279999999</v>
      </c>
      <c r="H32" s="132"/>
      <c r="I32" s="132"/>
    </row>
    <row r="33" spans="4:13">
      <c r="D33" s="70" t="s">
        <v>52</v>
      </c>
      <c r="E33" s="71">
        <f>E7</f>
        <v>149313.24</v>
      </c>
      <c r="F33" s="71">
        <f t="shared" ref="F33:G33" si="7">F7</f>
        <v>179175.88800000001</v>
      </c>
      <c r="G33" s="80">
        <f t="shared" si="7"/>
        <v>206052.27120000002</v>
      </c>
      <c r="H33" s="128"/>
      <c r="I33" s="128"/>
    </row>
    <row r="34" spans="4:13">
      <c r="D34" s="68" t="s">
        <v>10</v>
      </c>
      <c r="E34" s="69">
        <f>E10</f>
        <v>810042.36</v>
      </c>
      <c r="F34" s="69">
        <f t="shared" ref="F34:G34" si="8">F10</f>
        <v>972050.83199999994</v>
      </c>
      <c r="G34" s="81">
        <f t="shared" si="8"/>
        <v>1117858.4567999998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587521.10524000006</v>
      </c>
      <c r="F35" s="84">
        <f t="shared" ref="F35:G35" si="9">F21</f>
        <v>613103.31878800003</v>
      </c>
      <c r="G35" s="84">
        <f t="shared" si="9"/>
        <v>638718.93350619997</v>
      </c>
      <c r="H35" s="132"/>
      <c r="I35" s="132"/>
    </row>
    <row r="36" spans="4:13">
      <c r="D36" s="82" t="s">
        <v>47</v>
      </c>
      <c r="E36" s="83">
        <f>E23</f>
        <v>222521.25475999992</v>
      </c>
      <c r="F36" s="83">
        <f t="shared" ref="F36:G36" si="10">F23</f>
        <v>358947.5132119999</v>
      </c>
      <c r="G36" s="83">
        <f t="shared" si="10"/>
        <v>479139.52329379984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10" sqref="U10"/>
    </sheetView>
  </sheetViews>
  <sheetFormatPr defaultRowHeight="15"/>
  <cols>
    <col min="4" max="4" width="2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152857.5853999152</v>
      </c>
      <c r="F6" s="81">
        <f>'Profit and Loss Statement'!F28+'Profit and Loss Statement'!F27</f>
        <v>248674.27946241997</v>
      </c>
      <c r="G6" s="81">
        <f>'Profit and Loss Statement'!G28+'Profit and Loss Statement'!G27</f>
        <v>333156.85963450873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15000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75000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2507</v>
      </c>
      <c r="F11" s="78">
        <f>E11*1.02</f>
        <v>2557.14</v>
      </c>
      <c r="G11" s="78">
        <f>F11*1.02</f>
        <v>2608.2828</v>
      </c>
      <c r="H11" s="128"/>
      <c r="I11" s="128"/>
    </row>
    <row r="12" spans="4:9">
      <c r="D12" s="75" t="s">
        <v>23</v>
      </c>
      <c r="E12" s="89">
        <f>SUM(E9:E11)</f>
        <v>92507</v>
      </c>
      <c r="F12" s="89">
        <f t="shared" ref="F12:G12" si="0">SUM(F9:F11)</f>
        <v>2557.14</v>
      </c>
      <c r="G12" s="89">
        <f t="shared" si="0"/>
        <v>2608.2828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245364.5853999152</v>
      </c>
      <c r="F15" s="90">
        <f t="shared" ref="F15:G15" si="1">F12+F6</f>
        <v>251231.41946241999</v>
      </c>
      <c r="G15" s="90">
        <f t="shared" si="1"/>
        <v>335765.14243450871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4847.5440202585251</v>
      </c>
      <c r="F18" s="80">
        <f>SUM('Loan Amortization Table'!C26:C37)</f>
        <v>5302.2770861225017</v>
      </c>
      <c r="G18" s="80">
        <f>SUM('Loan Amortization Table'!C38:C49)</f>
        <v>5799.6672501635931</v>
      </c>
      <c r="H18" s="128"/>
      <c r="I18" s="128"/>
    </row>
    <row r="19" spans="4:9">
      <c r="D19" s="72" t="s">
        <v>25</v>
      </c>
      <c r="E19" s="78">
        <f>E11*0.7</f>
        <v>1754.8999999999999</v>
      </c>
      <c r="F19" s="78">
        <f t="shared" ref="F19:G19" si="2">F11*0.7</f>
        <v>1789.9979999999998</v>
      </c>
      <c r="G19" s="78">
        <f t="shared" si="2"/>
        <v>1825.7979599999999</v>
      </c>
      <c r="H19" s="128"/>
      <c r="I19" s="128"/>
    </row>
    <row r="20" spans="4:9">
      <c r="D20" s="70" t="s">
        <v>33</v>
      </c>
      <c r="E20" s="80">
        <f>'Use of Funds'!E6+'Use of Funds'!E7+'Use of Funds'!E8+'Use of Funds'!E10+'Use of Funds'!E11</f>
        <v>56000</v>
      </c>
      <c r="F20" s="80">
        <v>0</v>
      </c>
      <c r="G20" s="80">
        <v>0</v>
      </c>
      <c r="H20" s="128"/>
      <c r="I20" s="128"/>
    </row>
    <row r="21" spans="4:9">
      <c r="D21" s="72" t="s">
        <v>32</v>
      </c>
      <c r="E21" s="78">
        <f>E6*0.7</f>
        <v>107000.30977994064</v>
      </c>
      <c r="F21" s="78">
        <f t="shared" ref="F21:G21" si="3">F6*0.7</f>
        <v>174071.99562369398</v>
      </c>
      <c r="G21" s="78">
        <f t="shared" si="3"/>
        <v>233209.80174415608</v>
      </c>
      <c r="H21" s="128"/>
      <c r="I21" s="128"/>
    </row>
    <row r="22" spans="4:9">
      <c r="D22" s="75" t="s">
        <v>26</v>
      </c>
      <c r="E22" s="84">
        <f>SUM(E18:E21)</f>
        <v>169602.75380019916</v>
      </c>
      <c r="F22" s="84">
        <f t="shared" ref="F22:G22" si="4">SUM(F18:F21)</f>
        <v>181164.27070981648</v>
      </c>
      <c r="G22" s="84">
        <f t="shared" si="4"/>
        <v>240835.26695431967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75761.831599716039</v>
      </c>
      <c r="F24" s="91">
        <f t="shared" ref="F24:G24" si="5">F15-F22</f>
        <v>70067.148752603505</v>
      </c>
      <c r="G24" s="91">
        <f t="shared" si="5"/>
        <v>94929.875480189046</v>
      </c>
      <c r="H24" s="133"/>
      <c r="I24" s="133"/>
    </row>
    <row r="25" spans="4:9">
      <c r="D25" s="82" t="s">
        <v>6</v>
      </c>
      <c r="E25" s="91">
        <f>E24</f>
        <v>75761.831599716039</v>
      </c>
      <c r="F25" s="91">
        <f>E25+F24</f>
        <v>145828.98035231954</v>
      </c>
      <c r="G25" s="91">
        <f>F25+G24</f>
        <v>240758.85583250859</v>
      </c>
      <c r="H25" s="133"/>
      <c r="I25" s="133"/>
    </row>
    <row r="28" spans="4:9">
      <c r="D28" s="112" t="s">
        <v>79</v>
      </c>
      <c r="E28" s="114">
        <f>E6</f>
        <v>152857.5853999152</v>
      </c>
      <c r="F28" s="114">
        <f t="shared" ref="F28:G28" si="6">F6</f>
        <v>248674.27946241997</v>
      </c>
      <c r="G28" s="114">
        <f t="shared" si="6"/>
        <v>333156.85963450873</v>
      </c>
      <c r="H28" s="1"/>
      <c r="I28" s="1"/>
    </row>
    <row r="29" spans="4:9">
      <c r="D29" s="112" t="s">
        <v>80</v>
      </c>
      <c r="E29" s="114">
        <f>E18</f>
        <v>4847.5440202585251</v>
      </c>
      <c r="F29" s="114">
        <f t="shared" ref="F29:G29" si="7">F18</f>
        <v>5302.2770861225017</v>
      </c>
      <c r="G29" s="114">
        <f t="shared" si="7"/>
        <v>5799.6672501635931</v>
      </c>
      <c r="H29" s="1"/>
      <c r="I29" s="1"/>
    </row>
    <row r="30" spans="4:9">
      <c r="D30" s="112" t="s">
        <v>81</v>
      </c>
      <c r="E30" s="114">
        <f>E21</f>
        <v>107000.30977994064</v>
      </c>
      <c r="F30" s="114">
        <f t="shared" ref="F30:G30" si="8">F21</f>
        <v>174071.99562369398</v>
      </c>
      <c r="G30" s="114">
        <f t="shared" si="8"/>
        <v>233209.80174415608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workbookViewId="0">
      <selection activeCell="T13" sqref="T13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75761.831599716039</v>
      </c>
      <c r="F7" s="78">
        <f>'Cash Flow Analysis'!F25</f>
        <v>145828.98035231954</v>
      </c>
      <c r="G7" s="78">
        <f>'Cash Flow Analysis'!G25</f>
        <v>240758.85583250859</v>
      </c>
      <c r="H7" s="128"/>
      <c r="I7" s="128"/>
    </row>
    <row r="8" spans="4:9">
      <c r="D8" s="66" t="s">
        <v>124</v>
      </c>
      <c r="E8" s="94">
        <f>'Cash Flow Analysis'!E20</f>
        <v>56000</v>
      </c>
      <c r="F8" s="94">
        <f>E8+'Cash Flow Analysis'!F20</f>
        <v>56000</v>
      </c>
      <c r="G8" s="94">
        <f>F8+'Cash Flow Analysis'!G20</f>
        <v>56000</v>
      </c>
      <c r="H8" s="128"/>
      <c r="I8" s="128"/>
    </row>
    <row r="9" spans="4:9">
      <c r="D9" s="72" t="s">
        <v>48</v>
      </c>
      <c r="E9" s="87">
        <f>-'Profit and Loss Statement'!E27</f>
        <v>-5600</v>
      </c>
      <c r="F9" s="87">
        <f>E9-'Profit and Loss Statement'!F27</f>
        <v>-11200</v>
      </c>
      <c r="G9" s="87">
        <f>F9-'Profit and Loss Statement'!G27</f>
        <v>-16800</v>
      </c>
      <c r="H9" s="131"/>
      <c r="I9" s="131"/>
    </row>
    <row r="10" spans="4:9">
      <c r="D10" s="95" t="s">
        <v>7</v>
      </c>
      <c r="E10" s="96">
        <f>SUM(E7:E9)</f>
        <v>126161.83159971604</v>
      </c>
      <c r="F10" s="96">
        <f t="shared" ref="F10:G10" si="0">SUM(F7:F9)</f>
        <v>190628.98035231954</v>
      </c>
      <c r="G10" s="96">
        <f t="shared" si="0"/>
        <v>279958.85583250859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752.10000000000014</v>
      </c>
      <c r="F13" s="78">
        <f>E13+('Cash Flow Analysis'!F11-'Cash Flow Analysis'!F19)</f>
        <v>1519.2420000000002</v>
      </c>
      <c r="G13" s="78">
        <f>F13+('Cash Flow Analysis'!G11-'Cash Flow Analysis'!G19)</f>
        <v>2301.7268400000003</v>
      </c>
      <c r="H13" s="128"/>
      <c r="I13" s="128"/>
    </row>
    <row r="14" spans="4:9">
      <c r="D14" s="66" t="s">
        <v>73</v>
      </c>
      <c r="E14" s="94">
        <f>'Loan Amortization Table'!E25</f>
        <v>70152.455979741499</v>
      </c>
      <c r="F14" s="94">
        <f>'Loan Amortization Table'!E37</f>
        <v>64850.178893618991</v>
      </c>
      <c r="G14" s="94">
        <f>'Loan Amortization Table'!E49</f>
        <v>59050.5116434554</v>
      </c>
      <c r="H14" s="128"/>
      <c r="I14" s="128"/>
    </row>
    <row r="15" spans="4:9">
      <c r="D15" s="68" t="s">
        <v>30</v>
      </c>
      <c r="E15" s="81">
        <f>SUM(E13:E14)</f>
        <v>70904.555979741504</v>
      </c>
      <c r="F15" s="81">
        <f t="shared" ref="F15:G15" si="1">SUM(F13:F14)</f>
        <v>66369.420893618997</v>
      </c>
      <c r="G15" s="81">
        <f t="shared" si="1"/>
        <v>61352.238483455403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55257.275619974534</v>
      </c>
      <c r="F17" s="83">
        <f t="shared" ref="F17:G17" si="2">F10-F15</f>
        <v>124259.55945870055</v>
      </c>
      <c r="G17" s="83">
        <f t="shared" si="2"/>
        <v>218606.61734905318</v>
      </c>
      <c r="H17" s="132"/>
      <c r="I17" s="132"/>
    </row>
    <row r="18" spans="4:9">
      <c r="D18" s="82" t="s">
        <v>31</v>
      </c>
      <c r="E18" s="83">
        <f>E15+E17</f>
        <v>126161.83159971604</v>
      </c>
      <c r="F18" s="83">
        <f t="shared" ref="F18:G18" si="3">F15+F17</f>
        <v>190628.98035231954</v>
      </c>
      <c r="G18" s="83">
        <f t="shared" si="3"/>
        <v>279958.85583250859</v>
      </c>
      <c r="H18" s="132"/>
      <c r="I18" s="132"/>
    </row>
    <row r="21" spans="4:9">
      <c r="D21" s="112" t="s">
        <v>82</v>
      </c>
      <c r="E21" s="114">
        <f>E10-1</f>
        <v>126160.83159971604</v>
      </c>
      <c r="F21" s="114">
        <f t="shared" ref="F21:G21" si="4">F10-1</f>
        <v>190627.98035231954</v>
      </c>
      <c r="G21" s="114">
        <f t="shared" si="4"/>
        <v>279957.85583250859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70904.555979741504</v>
      </c>
      <c r="F22" s="114">
        <f t="shared" ref="F22:G22" si="6">F15</f>
        <v>66369.420893618997</v>
      </c>
      <c r="G22" s="114">
        <f t="shared" si="6"/>
        <v>61352.238483455403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55257.275619974534</v>
      </c>
      <c r="F23" s="114">
        <f t="shared" ref="F23:G23" si="8">F17</f>
        <v>124259.55945870055</v>
      </c>
      <c r="G23" s="114">
        <f t="shared" si="8"/>
        <v>218606.61734905318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V11" sqref="V11"/>
    </sheetView>
  </sheetViews>
  <sheetFormatPr defaultRowHeight="15"/>
  <cols>
    <col min="2" max="2" width="29.140625" customWidth="1"/>
    <col min="3" max="6" width="8.5703125" bestFit="1" customWidth="1"/>
    <col min="7" max="7" width="10.140625" bestFit="1" customWidth="1"/>
    <col min="8" max="8" width="9.140625" customWidth="1"/>
    <col min="9" max="9" width="9.4257812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79800</v>
      </c>
      <c r="D6" s="6">
        <f>Inputs!D42</f>
        <v>79826.600000000006</v>
      </c>
      <c r="E6" s="6">
        <f>Inputs!E42</f>
        <v>79853.2</v>
      </c>
      <c r="F6" s="6">
        <f>Inputs!F42</f>
        <v>79879.8</v>
      </c>
      <c r="G6" s="6">
        <f>Inputs!G42</f>
        <v>79906.399999999994</v>
      </c>
      <c r="H6" s="6">
        <f>Inputs!H42</f>
        <v>79933</v>
      </c>
      <c r="I6" s="6">
        <f>Inputs!I42</f>
        <v>79959.600000000006</v>
      </c>
    </row>
    <row r="7" spans="2:9">
      <c r="B7" s="31" t="s">
        <v>52</v>
      </c>
      <c r="C7" s="6">
        <f>Inputs!C61</f>
        <v>12420</v>
      </c>
      <c r="D7" s="6">
        <f>Inputs!D61</f>
        <v>12424.14</v>
      </c>
      <c r="E7" s="6">
        <f>Inputs!E61</f>
        <v>12428.279999999999</v>
      </c>
      <c r="F7" s="6">
        <f>Inputs!F61</f>
        <v>12432.42</v>
      </c>
      <c r="G7" s="6">
        <f>Inputs!G61</f>
        <v>12436.560000000001</v>
      </c>
      <c r="H7" s="6">
        <f>Inputs!H61</f>
        <v>12440.7</v>
      </c>
      <c r="I7" s="6">
        <f>Inputs!I61</f>
        <v>12444.84</v>
      </c>
    </row>
    <row r="8" spans="2:9">
      <c r="B8" s="29" t="s">
        <v>12</v>
      </c>
      <c r="C8" s="17">
        <f>1-(C7/C6)</f>
        <v>0.84436090225563909</v>
      </c>
      <c r="D8" s="17">
        <f t="shared" ref="D8:I8" si="1">1-(D7/D6)</f>
        <v>0.84436090225563909</v>
      </c>
      <c r="E8" s="17">
        <f t="shared" si="1"/>
        <v>0.84436090225563909</v>
      </c>
      <c r="F8" s="17">
        <f t="shared" si="1"/>
        <v>0.84436090225563909</v>
      </c>
      <c r="G8" s="17">
        <f t="shared" si="1"/>
        <v>0.84436090225563909</v>
      </c>
      <c r="H8" s="17">
        <f t="shared" si="1"/>
        <v>0.84436090225563909</v>
      </c>
      <c r="I8" s="17">
        <f t="shared" si="1"/>
        <v>0.84436090225563909</v>
      </c>
    </row>
    <row r="9" spans="2:9">
      <c r="B9" s="30"/>
    </row>
    <row r="10" spans="2:9">
      <c r="B10" s="37" t="s">
        <v>10</v>
      </c>
      <c r="C10" s="6">
        <f>C6-C7</f>
        <v>67380</v>
      </c>
      <c r="D10" s="6">
        <f t="shared" ref="D10:I10" si="2">D6-D7</f>
        <v>67402.460000000006</v>
      </c>
      <c r="E10" s="6">
        <f t="shared" si="2"/>
        <v>67424.92</v>
      </c>
      <c r="F10" s="6">
        <f t="shared" si="2"/>
        <v>67447.38</v>
      </c>
      <c r="G10" s="6">
        <f t="shared" si="2"/>
        <v>67469.84</v>
      </c>
      <c r="H10" s="6">
        <f t="shared" si="2"/>
        <v>67492.3</v>
      </c>
      <c r="I10" s="6">
        <f t="shared" si="2"/>
        <v>67514.760000000009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38958.333333333336</v>
      </c>
      <c r="D13" s="6">
        <f t="shared" ref="D13:I13" si="3">$H$41/12</f>
        <v>38958.333333333336</v>
      </c>
      <c r="E13" s="6">
        <f t="shared" si="3"/>
        <v>38958.333333333336</v>
      </c>
      <c r="F13" s="6">
        <f t="shared" si="3"/>
        <v>38958.333333333336</v>
      </c>
      <c r="G13" s="6">
        <f t="shared" si="3"/>
        <v>38958.333333333336</v>
      </c>
      <c r="H13" s="6">
        <f t="shared" si="3"/>
        <v>38958.333333333336</v>
      </c>
      <c r="I13" s="6">
        <f t="shared" si="3"/>
        <v>38958.333333333336</v>
      </c>
    </row>
    <row r="14" spans="2:9">
      <c r="B14" s="33" t="str">
        <f>'Profit and Loss Statement'!D14</f>
        <v>Facility Costs</v>
      </c>
      <c r="C14" s="6">
        <f>$H$42/12</f>
        <v>1004.25</v>
      </c>
      <c r="D14" s="6">
        <f t="shared" ref="D14:I14" si="4">$H$42/12</f>
        <v>1004.25</v>
      </c>
      <c r="E14" s="6">
        <f t="shared" si="4"/>
        <v>1004.25</v>
      </c>
      <c r="F14" s="6">
        <f t="shared" si="4"/>
        <v>1004.25</v>
      </c>
      <c r="G14" s="6">
        <f t="shared" si="4"/>
        <v>1004.25</v>
      </c>
      <c r="H14" s="6">
        <f t="shared" si="4"/>
        <v>1004.25</v>
      </c>
      <c r="I14" s="6">
        <f t="shared" si="4"/>
        <v>1004.25</v>
      </c>
    </row>
    <row r="15" spans="2:9">
      <c r="B15" s="33" t="str">
        <f>'Profit and Loss Statement'!D15</f>
        <v>General and Administrative</v>
      </c>
      <c r="C15" s="6">
        <f>$H$43/12</f>
        <v>1255.1569099999999</v>
      </c>
      <c r="D15" s="6">
        <f t="shared" ref="D15:I15" si="5">$H$43/12</f>
        <v>1255.1569099999999</v>
      </c>
      <c r="E15" s="6">
        <f t="shared" si="5"/>
        <v>1255.1569099999999</v>
      </c>
      <c r="F15" s="6">
        <f t="shared" si="5"/>
        <v>1255.1569099999999</v>
      </c>
      <c r="G15" s="6">
        <f t="shared" si="5"/>
        <v>1255.1569099999999</v>
      </c>
      <c r="H15" s="6">
        <f t="shared" si="5"/>
        <v>1255.1569099999999</v>
      </c>
      <c r="I15" s="6">
        <f t="shared" si="5"/>
        <v>1255.1569099999999</v>
      </c>
    </row>
    <row r="16" spans="2:9">
      <c r="B16" s="33" t="str">
        <f>'Profit and Loss Statement'!D16</f>
        <v>Equipment Costs</v>
      </c>
      <c r="C16" s="6">
        <f>$H$44/12</f>
        <v>1215.1837599999999</v>
      </c>
      <c r="D16" s="6">
        <f t="shared" ref="D16:I16" si="6">$H$44/12</f>
        <v>1215.1837599999999</v>
      </c>
      <c r="E16" s="6">
        <f t="shared" si="6"/>
        <v>1215.1837599999999</v>
      </c>
      <c r="F16" s="6">
        <f t="shared" si="6"/>
        <v>1215.1837599999999</v>
      </c>
      <c r="G16" s="6">
        <f t="shared" si="6"/>
        <v>1215.1837599999999</v>
      </c>
      <c r="H16" s="6">
        <f t="shared" si="6"/>
        <v>1215.1837599999999</v>
      </c>
      <c r="I16" s="6">
        <f t="shared" si="6"/>
        <v>1215.1837599999999</v>
      </c>
    </row>
    <row r="17" spans="2:9">
      <c r="B17" s="33" t="str">
        <f>'Profit and Loss Statement'!D17</f>
        <v>Insurance Costs</v>
      </c>
      <c r="C17" s="6">
        <f>$H$45/12</f>
        <v>2337.5</v>
      </c>
      <c r="D17" s="6">
        <f t="shared" ref="D17:I17" si="7">$H$45/12</f>
        <v>2337.5</v>
      </c>
      <c r="E17" s="6">
        <f t="shared" si="7"/>
        <v>2337.5</v>
      </c>
      <c r="F17" s="6">
        <f t="shared" si="7"/>
        <v>2337.5</v>
      </c>
      <c r="G17" s="6">
        <f t="shared" si="7"/>
        <v>2337.5</v>
      </c>
      <c r="H17" s="6">
        <f t="shared" si="7"/>
        <v>2337.5</v>
      </c>
      <c r="I17" s="6">
        <f t="shared" si="7"/>
        <v>2337.5</v>
      </c>
    </row>
    <row r="18" spans="2:9">
      <c r="B18" s="33" t="str">
        <f>'Profit and Loss Statement'!D18</f>
        <v>Marketing</v>
      </c>
      <c r="C18" s="6">
        <f>$H$46/12</f>
        <v>959.35559999999998</v>
      </c>
      <c r="D18" s="6">
        <f t="shared" ref="D18:I18" si="8">$H$46/12</f>
        <v>959.35559999999998</v>
      </c>
      <c r="E18" s="6">
        <f t="shared" si="8"/>
        <v>959.35559999999998</v>
      </c>
      <c r="F18" s="6">
        <f t="shared" si="8"/>
        <v>959.35559999999998</v>
      </c>
      <c r="G18" s="6">
        <f t="shared" si="8"/>
        <v>959.35559999999998</v>
      </c>
      <c r="H18" s="6">
        <f t="shared" si="8"/>
        <v>959.35559999999998</v>
      </c>
      <c r="I18" s="6">
        <f t="shared" si="8"/>
        <v>959.35559999999998</v>
      </c>
    </row>
    <row r="19" spans="2:9">
      <c r="B19" s="33" t="str">
        <f>'Profit and Loss Statement'!D19</f>
        <v>Professional Fees and Licensure</v>
      </c>
      <c r="C19" s="6">
        <f>$H$47/12</f>
        <v>250</v>
      </c>
      <c r="D19" s="6">
        <f t="shared" ref="D19:I19" si="9">$H$47/12</f>
        <v>250</v>
      </c>
      <c r="E19" s="6">
        <f t="shared" si="9"/>
        <v>250</v>
      </c>
      <c r="F19" s="6">
        <f t="shared" si="9"/>
        <v>250</v>
      </c>
      <c r="G19" s="6">
        <f t="shared" si="9"/>
        <v>250</v>
      </c>
      <c r="H19" s="6">
        <f t="shared" si="9"/>
        <v>250</v>
      </c>
      <c r="I19" s="6">
        <f t="shared" si="9"/>
        <v>250</v>
      </c>
    </row>
    <row r="20" spans="2:9">
      <c r="B20" s="29" t="s">
        <v>14</v>
      </c>
      <c r="C20" s="6">
        <f>$H$48/12</f>
        <v>2980.3125</v>
      </c>
      <c r="D20" s="6">
        <f t="shared" ref="D20:I20" si="10">$H$48/12</f>
        <v>2980.3125</v>
      </c>
      <c r="E20" s="6">
        <f t="shared" si="10"/>
        <v>2980.3125</v>
      </c>
      <c r="F20" s="6">
        <f t="shared" si="10"/>
        <v>2980.3125</v>
      </c>
      <c r="G20" s="6">
        <f t="shared" si="10"/>
        <v>2980.3125</v>
      </c>
      <c r="H20" s="6">
        <f t="shared" si="10"/>
        <v>2980.3125</v>
      </c>
      <c r="I20" s="6">
        <f t="shared" si="10"/>
        <v>2980.3125</v>
      </c>
    </row>
    <row r="21" spans="2:9">
      <c r="B21" s="28" t="s">
        <v>8</v>
      </c>
      <c r="C21" s="6">
        <f>SUM(C13:C20)</f>
        <v>48960.092103333336</v>
      </c>
      <c r="D21" s="6">
        <f t="shared" ref="D21:I21" si="11">SUM(D13:D20)</f>
        <v>48960.092103333336</v>
      </c>
      <c r="E21" s="6">
        <f t="shared" si="11"/>
        <v>48960.092103333336</v>
      </c>
      <c r="F21" s="6">
        <f t="shared" si="11"/>
        <v>48960.092103333336</v>
      </c>
      <c r="G21" s="6">
        <f t="shared" si="11"/>
        <v>48960.092103333336</v>
      </c>
      <c r="H21" s="6">
        <f t="shared" si="11"/>
        <v>48960.092103333336</v>
      </c>
      <c r="I21" s="6">
        <f t="shared" si="11"/>
        <v>48960.092103333336</v>
      </c>
    </row>
    <row r="22" spans="2:9">
      <c r="B22" s="30"/>
    </row>
    <row r="23" spans="2:9">
      <c r="B23" s="24" t="s">
        <v>47</v>
      </c>
      <c r="C23" s="25">
        <f>C10-C21</f>
        <v>18419.907896666664</v>
      </c>
      <c r="D23" s="25">
        <f t="shared" ref="D23:I23" si="12">D10-D21</f>
        <v>18442.36789666667</v>
      </c>
      <c r="E23" s="25">
        <f t="shared" si="12"/>
        <v>18464.827896666662</v>
      </c>
      <c r="F23" s="25">
        <f t="shared" si="12"/>
        <v>18487.287896666669</v>
      </c>
      <c r="G23" s="25">
        <f t="shared" si="12"/>
        <v>18509.74789666666</v>
      </c>
      <c r="H23" s="25">
        <f t="shared" si="12"/>
        <v>18532.207896666667</v>
      </c>
      <c r="I23" s="25">
        <f t="shared" si="12"/>
        <v>18554.667896666673</v>
      </c>
    </row>
    <row r="24" spans="2:9">
      <c r="B24" s="29" t="s">
        <v>15</v>
      </c>
      <c r="C24" s="6">
        <f>(C6/$H$34)*$H$52</f>
        <v>4374.6460477195142</v>
      </c>
      <c r="D24" s="6">
        <f t="shared" ref="D24:I24" si="13">(D6/$H$34)*$H$52</f>
        <v>4376.1042630687543</v>
      </c>
      <c r="E24" s="6">
        <f t="shared" si="13"/>
        <v>4377.5624784179936</v>
      </c>
      <c r="F24" s="6">
        <f t="shared" si="13"/>
        <v>4379.0206937672338</v>
      </c>
      <c r="G24" s="6">
        <f t="shared" si="13"/>
        <v>4380.478909116473</v>
      </c>
      <c r="H24" s="6">
        <f t="shared" si="13"/>
        <v>4381.9371244657132</v>
      </c>
      <c r="I24" s="6">
        <f t="shared" si="13"/>
        <v>4383.3953398149533</v>
      </c>
    </row>
    <row r="25" spans="2:9">
      <c r="B25" s="29" t="s">
        <v>102</v>
      </c>
      <c r="C25" s="6">
        <f>(C6/$H$34)*$H$53</f>
        <v>874.92920954390286</v>
      </c>
      <c r="D25" s="6">
        <f t="shared" ref="D25:I25" si="14">(D6/$H$34)*$H$53</f>
        <v>875.22085261375082</v>
      </c>
      <c r="E25" s="6">
        <f t="shared" si="14"/>
        <v>875.51249568359879</v>
      </c>
      <c r="F25" s="6">
        <f t="shared" si="14"/>
        <v>875.80413875344675</v>
      </c>
      <c r="G25" s="6">
        <f t="shared" si="14"/>
        <v>876.09578182329471</v>
      </c>
      <c r="H25" s="6">
        <f t="shared" si="14"/>
        <v>876.38742489314268</v>
      </c>
      <c r="I25" s="6">
        <f t="shared" si="14"/>
        <v>876.67906796299076</v>
      </c>
    </row>
    <row r="26" spans="2:9">
      <c r="B26" s="29" t="s">
        <v>16</v>
      </c>
      <c r="C26" s="6">
        <f>'Loan Amortization Table'!D14</f>
        <v>562.5</v>
      </c>
      <c r="D26" s="6">
        <f>'Loan Amortization Table'!D15</f>
        <v>559.59323772654841</v>
      </c>
      <c r="E26" s="6">
        <f>'Loan Amortization Table'!D16</f>
        <v>556.66467473604598</v>
      </c>
      <c r="F26" s="6">
        <f>'Loan Amortization Table'!D17</f>
        <v>553.71414752311478</v>
      </c>
      <c r="G26" s="6">
        <f>'Loan Amortization Table'!D18</f>
        <v>550.74149135608673</v>
      </c>
      <c r="H26" s="6">
        <f>'Loan Amortization Table'!D19</f>
        <v>547.74654026780581</v>
      </c>
      <c r="I26" s="6">
        <f>'Loan Amortization Table'!D20</f>
        <v>544.72912704636292</v>
      </c>
    </row>
    <row r="27" spans="2:9">
      <c r="B27" s="29" t="s">
        <v>54</v>
      </c>
      <c r="C27" s="6">
        <f>$H$55/12</f>
        <v>466.66666666666669</v>
      </c>
      <c r="D27" s="6">
        <f t="shared" ref="D27:I27" si="15">$H$55/12</f>
        <v>466.66666666666669</v>
      </c>
      <c r="E27" s="6">
        <f t="shared" si="15"/>
        <v>466.66666666666669</v>
      </c>
      <c r="F27" s="6">
        <f t="shared" si="15"/>
        <v>466.66666666666669</v>
      </c>
      <c r="G27" s="6">
        <f t="shared" si="15"/>
        <v>466.66666666666669</v>
      </c>
      <c r="H27" s="6">
        <f t="shared" si="15"/>
        <v>466.66666666666669</v>
      </c>
      <c r="I27" s="6">
        <f t="shared" si="15"/>
        <v>466.66666666666669</v>
      </c>
    </row>
    <row r="28" spans="2:9">
      <c r="B28" s="38" t="s">
        <v>17</v>
      </c>
      <c r="C28" s="39">
        <f>C23-SUM(C24:C27)</f>
        <v>12141.16597273658</v>
      </c>
      <c r="D28" s="39">
        <f t="shared" ref="D28:I28" si="16">D23-SUM(D24:D27)</f>
        <v>12164.782876590951</v>
      </c>
      <c r="E28" s="39">
        <f t="shared" si="16"/>
        <v>12188.421581162358</v>
      </c>
      <c r="F28" s="39">
        <f t="shared" si="16"/>
        <v>12212.082249956205</v>
      </c>
      <c r="G28" s="39">
        <f t="shared" si="16"/>
        <v>12235.765047704139</v>
      </c>
      <c r="H28" s="39">
        <f t="shared" si="16"/>
        <v>12259.470140373338</v>
      </c>
      <c r="I28" s="39">
        <f t="shared" si="16"/>
        <v>12283.197695175699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79986.2</v>
      </c>
      <c r="D34" s="6">
        <f>Inputs!K42</f>
        <v>80012.800000000003</v>
      </c>
      <c r="E34" s="6">
        <f>Inputs!L42</f>
        <v>80039.399999999994</v>
      </c>
      <c r="F34" s="6">
        <f>Inputs!M42</f>
        <v>80066</v>
      </c>
      <c r="G34" s="6">
        <f>Inputs!N42</f>
        <v>80092.600000000006</v>
      </c>
      <c r="H34" s="6">
        <f>'Profit and Loss Statement'!E6</f>
        <v>959355.6</v>
      </c>
    </row>
    <row r="35" spans="2:8">
      <c r="B35" s="31" t="s">
        <v>52</v>
      </c>
      <c r="C35" s="6">
        <f>Inputs!J61</f>
        <v>12448.98</v>
      </c>
      <c r="D35" s="6">
        <f>Inputs!K61</f>
        <v>12453.119999999999</v>
      </c>
      <c r="E35" s="6">
        <f>Inputs!L61</f>
        <v>12457.26</v>
      </c>
      <c r="F35" s="6">
        <f>Inputs!M61</f>
        <v>12461.4</v>
      </c>
      <c r="G35" s="6">
        <f>Inputs!N61</f>
        <v>12465.54</v>
      </c>
      <c r="H35" s="6">
        <f>'Profit and Loss Statement'!E7</f>
        <v>149313.24</v>
      </c>
    </row>
    <row r="36" spans="2:8">
      <c r="B36" s="29" t="s">
        <v>12</v>
      </c>
      <c r="C36" s="17">
        <f>1-(C35/C34)</f>
        <v>0.84436090225563909</v>
      </c>
      <c r="D36" s="17">
        <f t="shared" ref="D36:H36" si="18">1-(D35/D34)</f>
        <v>0.84436090225563909</v>
      </c>
      <c r="E36" s="17">
        <f t="shared" si="18"/>
        <v>0.84436090225563909</v>
      </c>
      <c r="F36" s="17">
        <f t="shared" si="18"/>
        <v>0.84436090225563909</v>
      </c>
      <c r="G36" s="17">
        <f t="shared" si="18"/>
        <v>0.84436090225563909</v>
      </c>
      <c r="H36" s="17">
        <f t="shared" si="18"/>
        <v>0.84436090225563909</v>
      </c>
    </row>
    <row r="37" spans="2:8">
      <c r="B37" s="30"/>
    </row>
    <row r="38" spans="2:8">
      <c r="B38" s="37" t="s">
        <v>10</v>
      </c>
      <c r="C38" s="6">
        <f>C34-C35</f>
        <v>67537.22</v>
      </c>
      <c r="D38" s="6">
        <f t="shared" ref="D38:H38" si="19">D34-D35</f>
        <v>67559.680000000008</v>
      </c>
      <c r="E38" s="6">
        <f t="shared" si="19"/>
        <v>67582.14</v>
      </c>
      <c r="F38" s="6">
        <f t="shared" si="19"/>
        <v>67604.600000000006</v>
      </c>
      <c r="G38" s="6">
        <f t="shared" si="19"/>
        <v>67627.06</v>
      </c>
      <c r="H38" s="6">
        <f t="shared" si="19"/>
        <v>810042.36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38958.333333333336</v>
      </c>
      <c r="D41" s="6">
        <f t="shared" ref="D41:G41" si="20">$H$41/12</f>
        <v>38958.333333333336</v>
      </c>
      <c r="E41" s="6">
        <f t="shared" si="20"/>
        <v>38958.333333333336</v>
      </c>
      <c r="F41" s="6">
        <f t="shared" si="20"/>
        <v>38958.333333333336</v>
      </c>
      <c r="G41" s="6">
        <f t="shared" si="20"/>
        <v>38958.333333333336</v>
      </c>
      <c r="H41" s="6">
        <f>'Profit and Loss Statement'!E13</f>
        <v>467500</v>
      </c>
    </row>
    <row r="42" spans="2:8">
      <c r="B42" s="33" t="str">
        <f>B14</f>
        <v>Facility Costs</v>
      </c>
      <c r="C42" s="6">
        <f>$H$42/12</f>
        <v>1004.25</v>
      </c>
      <c r="D42" s="6">
        <f t="shared" ref="D42:G42" si="21">$H$42/12</f>
        <v>1004.25</v>
      </c>
      <c r="E42" s="6">
        <f t="shared" si="21"/>
        <v>1004.25</v>
      </c>
      <c r="F42" s="6">
        <f t="shared" si="21"/>
        <v>1004.25</v>
      </c>
      <c r="G42" s="6">
        <f t="shared" si="21"/>
        <v>1004.25</v>
      </c>
      <c r="H42" s="6">
        <f>'Profit and Loss Statement'!E14</f>
        <v>12051</v>
      </c>
    </row>
    <row r="43" spans="2:8">
      <c r="B43" s="33" t="str">
        <f t="shared" ref="B43:B47" si="22">B15</f>
        <v>General and Administrative</v>
      </c>
      <c r="C43" s="6">
        <f>$H$43/12</f>
        <v>1255.1569099999999</v>
      </c>
      <c r="D43" s="6">
        <f t="shared" ref="D43:G43" si="23">$H$43/12</f>
        <v>1255.1569099999999</v>
      </c>
      <c r="E43" s="6">
        <f t="shared" si="23"/>
        <v>1255.1569099999999</v>
      </c>
      <c r="F43" s="6">
        <f t="shared" si="23"/>
        <v>1255.1569099999999</v>
      </c>
      <c r="G43" s="6">
        <f t="shared" si="23"/>
        <v>1255.1569099999999</v>
      </c>
      <c r="H43" s="6">
        <f>'Profit and Loss Statement'!E15</f>
        <v>15061.882919999998</v>
      </c>
    </row>
    <row r="44" spans="2:8">
      <c r="B44" s="33" t="str">
        <f t="shared" si="22"/>
        <v>Equipment Costs</v>
      </c>
      <c r="C44" s="6">
        <f>$H$44/12</f>
        <v>1215.1837599999999</v>
      </c>
      <c r="D44" s="6">
        <f t="shared" ref="D44:G44" si="24">$H$44/12</f>
        <v>1215.1837599999999</v>
      </c>
      <c r="E44" s="6">
        <f t="shared" si="24"/>
        <v>1215.1837599999999</v>
      </c>
      <c r="F44" s="6">
        <f t="shared" si="24"/>
        <v>1215.1837599999999</v>
      </c>
      <c r="G44" s="6">
        <f t="shared" si="24"/>
        <v>1215.1837599999999</v>
      </c>
      <c r="H44" s="6">
        <f>'Profit and Loss Statement'!E16</f>
        <v>14582.205119999999</v>
      </c>
    </row>
    <row r="45" spans="2:8">
      <c r="B45" s="33" t="str">
        <f t="shared" si="22"/>
        <v>Insurance Costs</v>
      </c>
      <c r="C45" s="6">
        <f>$H$45/12</f>
        <v>2337.5</v>
      </c>
      <c r="D45" s="6">
        <f t="shared" ref="D45:G45" si="25">$H$45/12</f>
        <v>2337.5</v>
      </c>
      <c r="E45" s="6">
        <f t="shared" si="25"/>
        <v>2337.5</v>
      </c>
      <c r="F45" s="6">
        <f t="shared" si="25"/>
        <v>2337.5</v>
      </c>
      <c r="G45" s="6">
        <f t="shared" si="25"/>
        <v>2337.5</v>
      </c>
      <c r="H45" s="6">
        <f>'Profit and Loss Statement'!E17</f>
        <v>28050</v>
      </c>
    </row>
    <row r="46" spans="2:8">
      <c r="B46" s="33" t="str">
        <f t="shared" si="22"/>
        <v>Marketing</v>
      </c>
      <c r="C46" s="6">
        <f>$H$46/12</f>
        <v>959.35559999999998</v>
      </c>
      <c r="D46" s="6">
        <f t="shared" ref="D46:G46" si="26">$H$46/12</f>
        <v>959.35559999999998</v>
      </c>
      <c r="E46" s="6">
        <f t="shared" si="26"/>
        <v>959.35559999999998</v>
      </c>
      <c r="F46" s="6">
        <f t="shared" si="26"/>
        <v>959.35559999999998</v>
      </c>
      <c r="G46" s="6">
        <f t="shared" si="26"/>
        <v>959.35559999999998</v>
      </c>
      <c r="H46" s="6">
        <f>'Profit and Loss Statement'!E18</f>
        <v>11512.2672</v>
      </c>
    </row>
    <row r="47" spans="2:8">
      <c r="B47" s="33" t="str">
        <f t="shared" si="22"/>
        <v>Professional Fees and Licensure</v>
      </c>
      <c r="C47" s="6">
        <f>$H$47/12</f>
        <v>250</v>
      </c>
      <c r="D47" s="6">
        <f t="shared" ref="D47:G47" si="27">$H$47/12</f>
        <v>250</v>
      </c>
      <c r="E47" s="6">
        <f t="shared" si="27"/>
        <v>250</v>
      </c>
      <c r="F47" s="6">
        <f t="shared" si="27"/>
        <v>250</v>
      </c>
      <c r="G47" s="6">
        <f t="shared" si="27"/>
        <v>250</v>
      </c>
      <c r="H47" s="6">
        <f>'Profit and Loss Statement'!E19</f>
        <v>3000</v>
      </c>
    </row>
    <row r="48" spans="2:8">
      <c r="B48" s="29" t="s">
        <v>14</v>
      </c>
      <c r="C48" s="6">
        <f>$H$48/12</f>
        <v>2980.3125</v>
      </c>
      <c r="D48" s="6">
        <f t="shared" ref="D48:G48" si="28">$H$48/12</f>
        <v>2980.3125</v>
      </c>
      <c r="E48" s="6">
        <f t="shared" si="28"/>
        <v>2980.3125</v>
      </c>
      <c r="F48" s="6">
        <f t="shared" si="28"/>
        <v>2980.3125</v>
      </c>
      <c r="G48" s="6">
        <f t="shared" si="28"/>
        <v>2980.3125</v>
      </c>
      <c r="H48" s="6">
        <f>'Profit and Loss Statement'!E20</f>
        <v>35763.75</v>
      </c>
    </row>
    <row r="49" spans="2:15">
      <c r="B49" s="28" t="s">
        <v>8</v>
      </c>
      <c r="C49" s="6">
        <f>SUM(C41:C48)</f>
        <v>48960.092103333336</v>
      </c>
      <c r="D49" s="6">
        <f t="shared" ref="D49:G49" si="29">SUM(D41:D48)</f>
        <v>48960.092103333336</v>
      </c>
      <c r="E49" s="6">
        <f t="shared" si="29"/>
        <v>48960.092103333336</v>
      </c>
      <c r="F49" s="6">
        <f t="shared" si="29"/>
        <v>48960.092103333336</v>
      </c>
      <c r="G49" s="6">
        <f t="shared" si="29"/>
        <v>48960.092103333336</v>
      </c>
      <c r="H49" s="6">
        <f>'Profit and Loss Statement'!E21</f>
        <v>587521.10524000006</v>
      </c>
    </row>
    <row r="50" spans="2:15">
      <c r="B50" s="30"/>
    </row>
    <row r="51" spans="2:15">
      <c r="B51" s="24" t="s">
        <v>47</v>
      </c>
      <c r="C51" s="25">
        <f>C38-C49</f>
        <v>18577.127896666665</v>
      </c>
      <c r="D51" s="25">
        <f t="shared" ref="D51:H51" si="30">D38-D49</f>
        <v>18599.587896666671</v>
      </c>
      <c r="E51" s="25">
        <f t="shared" si="30"/>
        <v>18622.047896666663</v>
      </c>
      <c r="F51" s="25">
        <f t="shared" si="30"/>
        <v>18644.50789666667</v>
      </c>
      <c r="G51" s="25">
        <f t="shared" si="30"/>
        <v>18666.967896666662</v>
      </c>
      <c r="H51" s="25">
        <f t="shared" si="30"/>
        <v>222521.25475999992</v>
      </c>
    </row>
    <row r="52" spans="2:15">
      <c r="B52" s="29" t="s">
        <v>15</v>
      </c>
      <c r="C52" s="6">
        <f>(C34/$H$34)*$H$52</f>
        <v>4384.8535551641926</v>
      </c>
      <c r="D52" s="6">
        <f t="shared" ref="D52:G52" si="31">(D34/$H$34)*$H$52</f>
        <v>4386.3117705134327</v>
      </c>
      <c r="E52" s="6">
        <f t="shared" si="31"/>
        <v>4387.7699858626729</v>
      </c>
      <c r="F52" s="6">
        <f t="shared" si="31"/>
        <v>4389.2282012119131</v>
      </c>
      <c r="G52" s="6">
        <f t="shared" si="31"/>
        <v>4390.6864165611532</v>
      </c>
      <c r="H52" s="6">
        <f>'Profit and Loss Statement'!E24</f>
        <v>52591.994785684001</v>
      </c>
    </row>
    <row r="53" spans="2:15">
      <c r="B53" s="29" t="s">
        <v>102</v>
      </c>
      <c r="C53" s="6">
        <f>(C34/$H$34)*$H$53</f>
        <v>876.97071103283861</v>
      </c>
      <c r="D53" s="6">
        <f t="shared" ref="D53:G53" si="32">(D34/$H$34)*$H$53</f>
        <v>877.26235410268657</v>
      </c>
      <c r="E53" s="6">
        <f t="shared" si="32"/>
        <v>877.55399717253454</v>
      </c>
      <c r="F53" s="6">
        <f t="shared" si="32"/>
        <v>877.8456402423825</v>
      </c>
      <c r="G53" s="6">
        <f t="shared" si="32"/>
        <v>878.13728331223058</v>
      </c>
      <c r="H53" s="6">
        <f>'Profit and Loss Statement'!E25</f>
        <v>10518.3989571368</v>
      </c>
    </row>
    <row r="54" spans="2:15">
      <c r="B54" s="29" t="s">
        <v>16</v>
      </c>
      <c r="C54" s="6">
        <f>'Loan Amortization Table'!D21</f>
        <v>541.68908322575908</v>
      </c>
      <c r="D54" s="6">
        <f>'Loan Amortization Table'!D22</f>
        <v>538.62623907650072</v>
      </c>
      <c r="E54" s="6">
        <f>'Loan Amortization Table'!D23</f>
        <v>535.54042359612299</v>
      </c>
      <c r="F54" s="6">
        <f>'Loan Amortization Table'!D24</f>
        <v>532.43146449964229</v>
      </c>
      <c r="G54" s="6">
        <f>'Loan Amortization Table'!D25</f>
        <v>529.29918820993817</v>
      </c>
      <c r="H54" s="6">
        <f>'Profit and Loss Statement'!E26</f>
        <v>6553.2756172639274</v>
      </c>
    </row>
    <row r="55" spans="2:15">
      <c r="B55" s="29" t="s">
        <v>54</v>
      </c>
      <c r="C55" s="6">
        <f>$H$55/12</f>
        <v>466.66666666666669</v>
      </c>
      <c r="D55" s="6">
        <f t="shared" ref="D55:G55" si="33">$H$55/12</f>
        <v>466.66666666666669</v>
      </c>
      <c r="E55" s="6">
        <f t="shared" si="33"/>
        <v>466.66666666666669</v>
      </c>
      <c r="F55" s="6">
        <f t="shared" si="33"/>
        <v>466.66666666666669</v>
      </c>
      <c r="G55" s="6">
        <f t="shared" si="33"/>
        <v>466.66666666666669</v>
      </c>
      <c r="H55" s="6">
        <f>'Profit and Loss Statement'!E27</f>
        <v>5600</v>
      </c>
    </row>
    <row r="56" spans="2:15">
      <c r="B56" s="38" t="s">
        <v>17</v>
      </c>
      <c r="C56" s="39">
        <f>C51-SUM(C52:C55)</f>
        <v>12306.947880577209</v>
      </c>
      <c r="D56" s="39">
        <f t="shared" ref="D56:G56" si="34">D51-SUM(D52:D55)</f>
        <v>12330.720866307383</v>
      </c>
      <c r="E56" s="39">
        <f t="shared" si="34"/>
        <v>12354.516823368665</v>
      </c>
      <c r="F56" s="39">
        <f t="shared" si="34"/>
        <v>12378.335924046065</v>
      </c>
      <c r="G56" s="39">
        <f t="shared" si="34"/>
        <v>12402.178341916671</v>
      </c>
      <c r="H56" s="39">
        <f>'Profit and Loss Statement'!E28</f>
        <v>147257.5853999152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287806.68</v>
      </c>
      <c r="D62" s="6">
        <f t="shared" ref="D62:F62" si="38">$G$62*M62</f>
        <v>287806.68</v>
      </c>
      <c r="E62" s="6">
        <f t="shared" si="38"/>
        <v>287806.68</v>
      </c>
      <c r="F62" s="6">
        <f t="shared" si="38"/>
        <v>287806.68</v>
      </c>
      <c r="G62" s="6">
        <f>'Profit and Loss Statement'!F6</f>
        <v>1151226.72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44793.972000000002</v>
      </c>
      <c r="D63" s="6">
        <f t="shared" ref="D63:F63" si="39">$G$63*M62</f>
        <v>44793.972000000002</v>
      </c>
      <c r="E63" s="6">
        <f t="shared" si="39"/>
        <v>44793.972000000002</v>
      </c>
      <c r="F63" s="6">
        <f t="shared" si="39"/>
        <v>44793.972000000002</v>
      </c>
      <c r="G63" s="6">
        <f>'Profit and Loss Statement'!F7</f>
        <v>179175.88800000001</v>
      </c>
    </row>
    <row r="64" spans="2:15">
      <c r="B64" s="29" t="s">
        <v>12</v>
      </c>
      <c r="C64" s="17">
        <f>1-(C63/C62)</f>
        <v>0.84436090225563909</v>
      </c>
      <c r="D64" s="17">
        <f t="shared" ref="D64" si="40">1-(D63/D62)</f>
        <v>0.84436090225563909</v>
      </c>
      <c r="E64" s="17">
        <f t="shared" ref="E64" si="41">1-(E63/E62)</f>
        <v>0.84436090225563909</v>
      </c>
      <c r="F64" s="17">
        <f t="shared" ref="F64:G64" si="42">1-(F63/F62)</f>
        <v>0.84436090225563909</v>
      </c>
      <c r="G64" s="17">
        <f t="shared" si="42"/>
        <v>0.84436090225563909</v>
      </c>
    </row>
    <row r="65" spans="2:7">
      <c r="B65" s="30"/>
    </row>
    <row r="66" spans="2:7">
      <c r="B66" s="37" t="s">
        <v>10</v>
      </c>
      <c r="C66" s="6">
        <f>C62-C63</f>
        <v>243012.70799999998</v>
      </c>
      <c r="D66" s="6">
        <f t="shared" ref="D66:G66" si="43">D62-D63</f>
        <v>243012.70799999998</v>
      </c>
      <c r="E66" s="6">
        <f t="shared" si="43"/>
        <v>243012.70799999998</v>
      </c>
      <c r="F66" s="6">
        <f t="shared" si="43"/>
        <v>243012.70799999998</v>
      </c>
      <c r="G66" s="6">
        <f t="shared" si="43"/>
        <v>972050.83199999994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120381.25</v>
      </c>
      <c r="D69" s="6">
        <f t="shared" ref="D69:F69" si="44">$G$69/4</f>
        <v>120381.25</v>
      </c>
      <c r="E69" s="6">
        <f t="shared" si="44"/>
        <v>120381.25</v>
      </c>
      <c r="F69" s="6">
        <f t="shared" si="44"/>
        <v>120381.25</v>
      </c>
      <c r="G69" s="6">
        <f>'Profit and Loss Statement'!F13</f>
        <v>481525</v>
      </c>
    </row>
    <row r="70" spans="2:7">
      <c r="B70" s="33" t="str">
        <f>B42</f>
        <v>Facility Costs</v>
      </c>
      <c r="C70" s="6">
        <f>$G$70/4</f>
        <v>3103.1325000000002</v>
      </c>
      <c r="D70" s="6">
        <f t="shared" ref="D70:F70" si="45">$G$70/4</f>
        <v>3103.1325000000002</v>
      </c>
      <c r="E70" s="6">
        <f t="shared" si="45"/>
        <v>3103.1325000000002</v>
      </c>
      <c r="F70" s="6">
        <f t="shared" si="45"/>
        <v>3103.1325000000002</v>
      </c>
      <c r="G70" s="6">
        <f>'Profit and Loss Statement'!F14</f>
        <v>12412.53</v>
      </c>
    </row>
    <row r="71" spans="2:7">
      <c r="B71" s="33" t="str">
        <f t="shared" ref="B71:B75" si="46">B43</f>
        <v>General and Administrative</v>
      </c>
      <c r="C71" s="6">
        <f>$G$71/4</f>
        <v>4518.5648759999995</v>
      </c>
      <c r="D71" s="6">
        <f t="shared" ref="D71:F71" si="47">$G$71/4</f>
        <v>4518.5648759999995</v>
      </c>
      <c r="E71" s="6">
        <f t="shared" si="47"/>
        <v>4518.5648759999995</v>
      </c>
      <c r="F71" s="6">
        <f t="shared" si="47"/>
        <v>4518.5648759999995</v>
      </c>
      <c r="G71" s="6">
        <f>'Profit and Loss Statement'!F15</f>
        <v>18074.259503999998</v>
      </c>
    </row>
    <row r="72" spans="2:7">
      <c r="B72" s="33" t="str">
        <f t="shared" si="46"/>
        <v>Equipment Costs</v>
      </c>
      <c r="C72" s="6">
        <f>$G$72/4</f>
        <v>4374.6615359999996</v>
      </c>
      <c r="D72" s="6">
        <f t="shared" ref="D72:F72" si="48">$G$72/4</f>
        <v>4374.6615359999996</v>
      </c>
      <c r="E72" s="6">
        <f t="shared" si="48"/>
        <v>4374.6615359999996</v>
      </c>
      <c r="F72" s="6">
        <f t="shared" si="48"/>
        <v>4374.6615359999996</v>
      </c>
      <c r="G72" s="6">
        <f>'Profit and Loss Statement'!F16</f>
        <v>17498.646143999998</v>
      </c>
    </row>
    <row r="73" spans="2:7">
      <c r="B73" s="33" t="str">
        <f t="shared" si="46"/>
        <v>Insurance Costs</v>
      </c>
      <c r="C73" s="6">
        <f>$G$73/4</f>
        <v>7222.875</v>
      </c>
      <c r="D73" s="6">
        <f t="shared" ref="D73:F73" si="49">$G$73/4</f>
        <v>7222.875</v>
      </c>
      <c r="E73" s="6">
        <f t="shared" si="49"/>
        <v>7222.875</v>
      </c>
      <c r="F73" s="6">
        <f t="shared" si="49"/>
        <v>7222.875</v>
      </c>
      <c r="G73" s="6">
        <f>'Profit and Loss Statement'!F17</f>
        <v>28891.5</v>
      </c>
    </row>
    <row r="74" spans="2:7">
      <c r="B74" s="33" t="str">
        <f t="shared" si="46"/>
        <v>Marketing</v>
      </c>
      <c r="C74" s="6">
        <f>$G$74/4</f>
        <v>3453.6801599999999</v>
      </c>
      <c r="D74" s="6">
        <f t="shared" ref="D74:F74" si="50">$G$74/4</f>
        <v>3453.6801599999999</v>
      </c>
      <c r="E74" s="6">
        <f t="shared" si="50"/>
        <v>3453.6801599999999</v>
      </c>
      <c r="F74" s="6">
        <f t="shared" si="50"/>
        <v>3453.6801599999999</v>
      </c>
      <c r="G74" s="6">
        <f>'Profit and Loss Statement'!F18</f>
        <v>13814.72064</v>
      </c>
    </row>
    <row r="75" spans="2:7">
      <c r="B75" s="33" t="str">
        <f t="shared" si="46"/>
        <v>Professional Fees and Licensure</v>
      </c>
      <c r="C75" s="6">
        <f>$G$75/4</f>
        <v>1012.5000000000001</v>
      </c>
      <c r="D75" s="6">
        <f t="shared" ref="D75:F75" si="51">$G$75/4</f>
        <v>1012.5000000000001</v>
      </c>
      <c r="E75" s="6">
        <f t="shared" si="51"/>
        <v>1012.5000000000001</v>
      </c>
      <c r="F75" s="6">
        <f t="shared" si="51"/>
        <v>1012.5000000000001</v>
      </c>
      <c r="G75" s="6">
        <f>'Profit and Loss Statement'!F19</f>
        <v>4050.0000000000005</v>
      </c>
    </row>
    <row r="76" spans="2:7">
      <c r="B76" s="29" t="s">
        <v>14</v>
      </c>
      <c r="C76" s="6">
        <f>$G$76/4</f>
        <v>9209.1656249999996</v>
      </c>
      <c r="D76" s="6">
        <f t="shared" ref="D76:F76" si="52">$G$76/4</f>
        <v>9209.1656249999996</v>
      </c>
      <c r="E76" s="6">
        <f t="shared" si="52"/>
        <v>9209.1656249999996</v>
      </c>
      <c r="F76" s="6">
        <f t="shared" si="52"/>
        <v>9209.1656249999996</v>
      </c>
      <c r="G76" s="6">
        <f>'Profit and Loss Statement'!F20</f>
        <v>36836.662499999999</v>
      </c>
    </row>
    <row r="77" spans="2:7">
      <c r="B77" s="28" t="s">
        <v>8</v>
      </c>
      <c r="C77" s="6">
        <f>SUM(C69:C76)</f>
        <v>153275.82969700001</v>
      </c>
      <c r="D77" s="6">
        <f t="shared" ref="D77:F77" si="53">SUM(D69:D76)</f>
        <v>153275.82969700001</v>
      </c>
      <c r="E77" s="6">
        <f t="shared" si="53"/>
        <v>153275.82969700001</v>
      </c>
      <c r="F77" s="6">
        <f t="shared" si="53"/>
        <v>153275.82969700001</v>
      </c>
      <c r="G77" s="6">
        <f>SUM(G69:G76)</f>
        <v>613103.31878800003</v>
      </c>
    </row>
    <row r="78" spans="2:7">
      <c r="B78" s="30"/>
    </row>
    <row r="79" spans="2:7">
      <c r="B79" s="24" t="s">
        <v>47</v>
      </c>
      <c r="C79" s="25">
        <f>C66-C77</f>
        <v>89736.878302999976</v>
      </c>
      <c r="D79" s="25">
        <f t="shared" ref="D79:F79" si="54">D66-D77</f>
        <v>89736.878302999976</v>
      </c>
      <c r="E79" s="25">
        <f t="shared" si="54"/>
        <v>89736.878302999976</v>
      </c>
      <c r="F79" s="25">
        <f t="shared" si="54"/>
        <v>89736.878302999976</v>
      </c>
      <c r="G79" s="25">
        <f t="shared" ref="G79" si="55">G66-G77</f>
        <v>358947.5132119999</v>
      </c>
    </row>
    <row r="80" spans="2:7">
      <c r="B80" s="29" t="s">
        <v>15</v>
      </c>
      <c r="C80" s="6">
        <f>$G$80*L62</f>
        <v>21703.060666287496</v>
      </c>
      <c r="D80" s="6">
        <f t="shared" ref="D80:F80" si="56">$G$80*M62</f>
        <v>21703.060666287496</v>
      </c>
      <c r="E80" s="6">
        <f t="shared" si="56"/>
        <v>21703.060666287496</v>
      </c>
      <c r="F80" s="6">
        <f t="shared" si="56"/>
        <v>21703.060666287496</v>
      </c>
      <c r="G80" s="6">
        <f>'Profit and Loss Statement'!F24</f>
        <v>86812.242665149985</v>
      </c>
    </row>
    <row r="81" spans="2:15">
      <c r="B81" s="29" t="s">
        <v>102</v>
      </c>
      <c r="C81" s="6">
        <f>$G$81*L62</f>
        <v>4340.6121332574994</v>
      </c>
      <c r="D81" s="6">
        <f t="shared" ref="D81:F81" si="57">$G$81*M62</f>
        <v>4340.6121332574994</v>
      </c>
      <c r="E81" s="6">
        <f t="shared" si="57"/>
        <v>4340.6121332574994</v>
      </c>
      <c r="F81" s="6">
        <f t="shared" si="57"/>
        <v>4340.6121332574994</v>
      </c>
      <c r="G81" s="6">
        <f>'Profit and Loss Statement'!F25</f>
        <v>17362.448533029998</v>
      </c>
    </row>
    <row r="82" spans="2:15">
      <c r="B82" s="29" t="s">
        <v>16</v>
      </c>
      <c r="C82" s="6">
        <f>SUM('Loan Amortization Table'!D26:D28)</f>
        <v>1568.8681038957259</v>
      </c>
      <c r="D82" s="6">
        <f>SUM('Loan Amortization Table'!D29:D31)</f>
        <v>1539.8212596224253</v>
      </c>
      <c r="E82" s="6">
        <f>SUM('Loan Amortization Table'!D32:D34)</f>
        <v>1510.1159474438673</v>
      </c>
      <c r="F82" s="6">
        <f>SUM('Loan Amortization Table'!D35:D37)</f>
        <v>1479.737240437933</v>
      </c>
      <c r="G82" s="6">
        <f>'Profit and Loss Statement'!F26</f>
        <v>6098.5425513999517</v>
      </c>
    </row>
    <row r="83" spans="2:15">
      <c r="B83" s="29" t="s">
        <v>54</v>
      </c>
      <c r="C83" s="6">
        <f>$G$83/4</f>
        <v>1400</v>
      </c>
      <c r="D83" s="6">
        <f t="shared" ref="D83:F83" si="58">$G$83/4</f>
        <v>1400</v>
      </c>
      <c r="E83" s="6">
        <f t="shared" si="58"/>
        <v>1400</v>
      </c>
      <c r="F83" s="6">
        <f t="shared" si="58"/>
        <v>1400</v>
      </c>
      <c r="G83" s="6">
        <f>'Profit and Loss Statement'!F27</f>
        <v>5600</v>
      </c>
    </row>
    <row r="84" spans="2:15">
      <c r="B84" s="38" t="s">
        <v>17</v>
      </c>
      <c r="C84" s="39">
        <f>C79-SUM(C80:C83)</f>
        <v>60724.337399559256</v>
      </c>
      <c r="D84" s="39">
        <f t="shared" ref="D84:F84" si="59">D79-SUM(D80:D83)</f>
        <v>60753.384243832552</v>
      </c>
      <c r="E84" s="39">
        <f t="shared" si="59"/>
        <v>60783.089556011109</v>
      </c>
      <c r="F84" s="39">
        <f t="shared" si="59"/>
        <v>60813.46826301705</v>
      </c>
      <c r="G84" s="39">
        <f>'Profit and Loss Statement'!F28</f>
        <v>243074.27946241997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330977.68199999997</v>
      </c>
      <c r="D92" s="6">
        <f t="shared" ref="D92:F92" si="64">$G$92*M92</f>
        <v>330977.68199999997</v>
      </c>
      <c r="E92" s="6">
        <f t="shared" si="64"/>
        <v>330977.68199999997</v>
      </c>
      <c r="F92" s="6">
        <f t="shared" si="64"/>
        <v>330977.68199999997</v>
      </c>
      <c r="G92" s="6">
        <f>'Profit and Loss Statement'!G6</f>
        <v>1323910.7279999999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51513.067800000004</v>
      </c>
      <c r="D93" s="6">
        <f t="shared" ref="D93:F93" si="65">$G$93*M92</f>
        <v>51513.067800000004</v>
      </c>
      <c r="E93" s="6">
        <f t="shared" si="65"/>
        <v>51513.067800000004</v>
      </c>
      <c r="F93" s="6">
        <f t="shared" si="65"/>
        <v>51513.067800000004</v>
      </c>
      <c r="G93" s="6">
        <f>'Profit and Loss Statement'!G7</f>
        <v>206052.27120000002</v>
      </c>
    </row>
    <row r="94" spans="2:15">
      <c r="B94" s="29" t="s">
        <v>12</v>
      </c>
      <c r="C94" s="17">
        <f>1-(C93/C92)</f>
        <v>0.84436090225563909</v>
      </c>
      <c r="D94" s="17">
        <f t="shared" ref="D94:G94" si="66">1-(D93/D92)</f>
        <v>0.84436090225563909</v>
      </c>
      <c r="E94" s="17">
        <f t="shared" si="66"/>
        <v>0.84436090225563909</v>
      </c>
      <c r="F94" s="17">
        <f t="shared" si="66"/>
        <v>0.84436090225563909</v>
      </c>
      <c r="G94" s="17">
        <f t="shared" si="66"/>
        <v>0.84436090225563909</v>
      </c>
    </row>
    <row r="95" spans="2:15">
      <c r="B95" s="30"/>
    </row>
    <row r="96" spans="2:15">
      <c r="B96" s="37" t="s">
        <v>10</v>
      </c>
      <c r="C96" s="6">
        <f>C92-C93</f>
        <v>279464.61419999995</v>
      </c>
      <c r="D96" s="6">
        <f t="shared" ref="D96:G96" si="67">D92-D93</f>
        <v>279464.61419999995</v>
      </c>
      <c r="E96" s="6">
        <f t="shared" si="67"/>
        <v>279464.61419999995</v>
      </c>
      <c r="F96" s="6">
        <f t="shared" si="67"/>
        <v>279464.61419999995</v>
      </c>
      <c r="G96" s="6">
        <f t="shared" si="67"/>
        <v>1117858.4567999998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123992.6875</v>
      </c>
      <c r="D99" s="6">
        <f>$G$99/4</f>
        <v>123992.6875</v>
      </c>
      <c r="E99" s="6">
        <f>$G$99/4</f>
        <v>123992.6875</v>
      </c>
      <c r="F99" s="6">
        <f>$G$99/4</f>
        <v>123992.6875</v>
      </c>
      <c r="G99" s="6">
        <f>'Profit and Loss Statement'!G13</f>
        <v>495970.75</v>
      </c>
    </row>
    <row r="100" spans="2:7">
      <c r="B100" s="33" t="str">
        <f>B70</f>
        <v>Facility Costs</v>
      </c>
      <c r="C100" s="6">
        <f>$G$100/4</f>
        <v>3196.2264750000004</v>
      </c>
      <c r="D100" s="6">
        <f t="shared" ref="D100:F100" si="68">$G$100/4</f>
        <v>3196.2264750000004</v>
      </c>
      <c r="E100" s="6">
        <f t="shared" si="68"/>
        <v>3196.2264750000004</v>
      </c>
      <c r="F100" s="6">
        <f t="shared" si="68"/>
        <v>3196.2264750000004</v>
      </c>
      <c r="G100" s="6">
        <f>'Profit and Loss Statement'!G14</f>
        <v>12784.905900000002</v>
      </c>
    </row>
    <row r="101" spans="2:7">
      <c r="B101" s="33" t="str">
        <f t="shared" ref="B101:B105" si="69">B71</f>
        <v>General and Administrative</v>
      </c>
      <c r="C101" s="6">
        <f>$G101/4</f>
        <v>5196.3496073999995</v>
      </c>
      <c r="D101" s="6">
        <f t="shared" ref="D101:F101" si="70">$G101/4</f>
        <v>5196.3496073999995</v>
      </c>
      <c r="E101" s="6">
        <f t="shared" si="70"/>
        <v>5196.3496073999995</v>
      </c>
      <c r="F101" s="6">
        <f t="shared" si="70"/>
        <v>5196.3496073999995</v>
      </c>
      <c r="G101" s="6">
        <f>'Profit and Loss Statement'!G15</f>
        <v>20785.398429599998</v>
      </c>
    </row>
    <row r="102" spans="2:7">
      <c r="B102" s="33" t="str">
        <f t="shared" si="69"/>
        <v>Equipment Costs</v>
      </c>
      <c r="C102" s="6">
        <f>$G$102/4</f>
        <v>5030.8607663999992</v>
      </c>
      <c r="D102" s="6">
        <f t="shared" ref="D102:F102" si="71">$G$102/4</f>
        <v>5030.8607663999992</v>
      </c>
      <c r="E102" s="6">
        <f t="shared" si="71"/>
        <v>5030.8607663999992</v>
      </c>
      <c r="F102" s="6">
        <f t="shared" si="71"/>
        <v>5030.8607663999992</v>
      </c>
      <c r="G102" s="6">
        <f>'Profit and Loss Statement'!G16</f>
        <v>20123.443065599997</v>
      </c>
    </row>
    <row r="103" spans="2:7">
      <c r="B103" s="33" t="str">
        <f t="shared" si="69"/>
        <v>Insurance Costs</v>
      </c>
      <c r="C103" s="6">
        <f>$G$103/4</f>
        <v>7439.5612499999997</v>
      </c>
      <c r="D103" s="6">
        <f t="shared" ref="D103:F103" si="72">$G$103/4</f>
        <v>7439.5612499999997</v>
      </c>
      <c r="E103" s="6">
        <f t="shared" si="72"/>
        <v>7439.5612499999997</v>
      </c>
      <c r="F103" s="6">
        <f t="shared" si="72"/>
        <v>7439.5612499999997</v>
      </c>
      <c r="G103" s="6">
        <f>'Profit and Loss Statement'!G17</f>
        <v>29758.244999999999</v>
      </c>
    </row>
    <row r="104" spans="2:7">
      <c r="B104" s="33" t="str">
        <f t="shared" si="69"/>
        <v>Marketing</v>
      </c>
      <c r="C104" s="6">
        <f>$G$104/4</f>
        <v>3971.732184</v>
      </c>
      <c r="D104" s="6">
        <f t="shared" ref="D104:F104" si="73">$G$104/4</f>
        <v>3971.732184</v>
      </c>
      <c r="E104" s="6">
        <f t="shared" si="73"/>
        <v>3971.732184</v>
      </c>
      <c r="F104" s="6">
        <f t="shared" si="73"/>
        <v>3971.732184</v>
      </c>
      <c r="G104" s="6">
        <f>'Profit and Loss Statement'!G18</f>
        <v>15886.928736</v>
      </c>
    </row>
    <row r="105" spans="2:7">
      <c r="B105" s="33" t="str">
        <f t="shared" si="69"/>
        <v>Professional Fees and Licensure</v>
      </c>
      <c r="C105" s="6">
        <f>$G$105/4</f>
        <v>1366.8750000000002</v>
      </c>
      <c r="D105" s="6">
        <f t="shared" ref="D105:F105" si="74">$G$105/4</f>
        <v>1366.8750000000002</v>
      </c>
      <c r="E105" s="6">
        <f t="shared" si="74"/>
        <v>1366.8750000000002</v>
      </c>
      <c r="F105" s="6">
        <f t="shared" si="74"/>
        <v>1366.8750000000002</v>
      </c>
      <c r="G105" s="6">
        <f>'Profit and Loss Statement'!G19</f>
        <v>5467.5000000000009</v>
      </c>
    </row>
    <row r="106" spans="2:7">
      <c r="B106" s="29" t="s">
        <v>14</v>
      </c>
      <c r="C106" s="6">
        <f>$G$106/4</f>
        <v>9485.4405937499996</v>
      </c>
      <c r="D106" s="6">
        <f t="shared" ref="D106:F106" si="75">$G$106/4</f>
        <v>9485.4405937499996</v>
      </c>
      <c r="E106" s="6">
        <f t="shared" si="75"/>
        <v>9485.4405937499996</v>
      </c>
      <c r="F106" s="6">
        <f t="shared" si="75"/>
        <v>9485.4405937499996</v>
      </c>
      <c r="G106" s="6">
        <f>'Profit and Loss Statement'!G20</f>
        <v>37941.762374999998</v>
      </c>
    </row>
    <row r="107" spans="2:7">
      <c r="B107" s="28" t="s">
        <v>8</v>
      </c>
      <c r="C107" s="6">
        <f>SUM(C99:C106)</f>
        <v>159679.73337654999</v>
      </c>
      <c r="D107" s="6">
        <f t="shared" ref="D107:F107" si="76">SUM(D99:D106)</f>
        <v>159679.73337654999</v>
      </c>
      <c r="E107" s="6">
        <f t="shared" si="76"/>
        <v>159679.73337654999</v>
      </c>
      <c r="F107" s="6">
        <f t="shared" si="76"/>
        <v>159679.73337654999</v>
      </c>
      <c r="G107" s="6">
        <f>SUM(G99:G106)</f>
        <v>638718.93350619997</v>
      </c>
    </row>
    <row r="108" spans="2:7">
      <c r="B108" s="30"/>
    </row>
    <row r="109" spans="2:7">
      <c r="B109" s="24" t="s">
        <v>47</v>
      </c>
      <c r="C109" s="25">
        <f>C96-C107</f>
        <v>119784.88082344996</v>
      </c>
      <c r="D109" s="25">
        <f t="shared" ref="D109:G109" si="77">D96-D107</f>
        <v>119784.88082344996</v>
      </c>
      <c r="E109" s="25">
        <f t="shared" si="77"/>
        <v>119784.88082344996</v>
      </c>
      <c r="F109" s="25">
        <f t="shared" si="77"/>
        <v>119784.88082344996</v>
      </c>
      <c r="G109" s="25">
        <f t="shared" si="77"/>
        <v>479139.52329379984</v>
      </c>
    </row>
    <row r="110" spans="2:7">
      <c r="B110" s="29" t="s">
        <v>15</v>
      </c>
      <c r="C110" s="6">
        <f>$G$110*L92</f>
        <v>29246.148181652559</v>
      </c>
      <c r="D110" s="6">
        <f t="shared" ref="D110:F110" si="78">$G$110*M92</f>
        <v>29246.148181652559</v>
      </c>
      <c r="E110" s="6">
        <f t="shared" si="78"/>
        <v>29246.148181652559</v>
      </c>
      <c r="F110" s="6">
        <f t="shared" si="78"/>
        <v>29246.148181652559</v>
      </c>
      <c r="G110" s="6">
        <f>'Profit and Loss Statement'!G24</f>
        <v>116984.59272661024</v>
      </c>
    </row>
    <row r="111" spans="2:7">
      <c r="B111" s="29" t="s">
        <v>102</v>
      </c>
      <c r="C111" s="6">
        <f>$G$111*L92</f>
        <v>5849.2296363305122</v>
      </c>
      <c r="D111" s="6">
        <f t="shared" ref="D111:F111" si="79">$G$111*M92</f>
        <v>5849.2296363305122</v>
      </c>
      <c r="E111" s="6">
        <f t="shared" si="79"/>
        <v>5849.2296363305122</v>
      </c>
      <c r="F111" s="6">
        <f t="shared" si="79"/>
        <v>5849.2296363305122</v>
      </c>
      <c r="G111" s="6">
        <f>'Profit and Loss Statement'!G25</f>
        <v>23396.918545322049</v>
      </c>
    </row>
    <row r="112" spans="2:7">
      <c r="B112" s="29" t="s">
        <v>16</v>
      </c>
      <c r="C112" s="6">
        <f>SUM('Loan Amortization Table'!D38:D40)</f>
        <v>1448.6698733015405</v>
      </c>
      <c r="D112" s="6">
        <f>SUM('Loan Amortization Table'!D41:D43)</f>
        <v>1416.8982346798298</v>
      </c>
      <c r="E112" s="6">
        <f>SUM('Loan Amortization Table'!D44:D46)</f>
        <v>1384.406359321453</v>
      </c>
      <c r="F112" s="6">
        <f>SUM('Loan Amortization Table'!D47:D49)</f>
        <v>1351.1779200560363</v>
      </c>
      <c r="G112" s="6">
        <f>'Profit and Loss Statement'!G26</f>
        <v>5601.1523873588603</v>
      </c>
    </row>
    <row r="113" spans="2:15">
      <c r="B113" s="29" t="s">
        <v>54</v>
      </c>
      <c r="C113" s="6">
        <f>$G$113/4</f>
        <v>1400</v>
      </c>
      <c r="D113" s="6">
        <f>$G$113/4</f>
        <v>1400</v>
      </c>
      <c r="E113" s="6">
        <f>$G$113/4</f>
        <v>1400</v>
      </c>
      <c r="F113" s="6">
        <f>$G$113/4</f>
        <v>1400</v>
      </c>
      <c r="G113" s="6">
        <f>'Profit and Loss Statement'!G27</f>
        <v>5600</v>
      </c>
    </row>
    <row r="114" spans="2:15">
      <c r="B114" s="38" t="s">
        <v>17</v>
      </c>
      <c r="C114" s="39">
        <f>C109-SUM(C110:C113)</f>
        <v>81840.833132165339</v>
      </c>
      <c r="D114" s="39">
        <f t="shared" ref="D114:F114" si="80">D109-SUM(D110:D113)</f>
        <v>81872.60477078706</v>
      </c>
      <c r="E114" s="39">
        <f t="shared" si="80"/>
        <v>81905.096646145437</v>
      </c>
      <c r="F114" s="39">
        <f t="shared" si="80"/>
        <v>81938.325085410848</v>
      </c>
      <c r="G114" s="39">
        <f>'Profit and Loss Statement'!G28</f>
        <v>327556.85963450873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W6" sqref="W6"/>
    </sheetView>
  </sheetViews>
  <sheetFormatPr defaultRowHeight="15"/>
  <cols>
    <col min="3" max="3" width="27.5703125" customWidth="1"/>
    <col min="4" max="6" width="8.5703125" bestFit="1" customWidth="1"/>
    <col min="7" max="7" width="9.28515625" bestFit="1" customWidth="1"/>
    <col min="8" max="8" width="8.5703125" bestFit="1" customWidth="1"/>
    <col min="9" max="9" width="9.28515625" bestFit="1" customWidth="1"/>
    <col min="10" max="10" width="8.57031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12607.832639403247</v>
      </c>
      <c r="E6" s="13">
        <f>'Expanded Profit and Loss'!D28+'Expanded Profit and Loss'!D27</f>
        <v>12631.449543257617</v>
      </c>
      <c r="F6" s="13">
        <f>'Expanded Profit and Loss'!E28+'Expanded Profit and Loss'!E27</f>
        <v>12655.088247829024</v>
      </c>
      <c r="G6" s="13">
        <f>'Expanded Profit and Loss'!F28+'Expanded Profit and Loss'!F27</f>
        <v>12678.748916622872</v>
      </c>
      <c r="H6" s="13">
        <f>'Expanded Profit and Loss'!G28+'Expanded Profit and Loss'!G27</f>
        <v>12702.431714370805</v>
      </c>
      <c r="I6" s="13">
        <f>'Expanded Profit and Loss'!H28+'Expanded Profit and Loss'!H27</f>
        <v>12726.136807040004</v>
      </c>
      <c r="J6" s="13">
        <f>'Expanded Profit and Loss'!I28+'Expanded Profit and Loss'!I27</f>
        <v>12749.864361842365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75000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208.91666666666666</v>
      </c>
      <c r="E11" s="13">
        <f t="shared" ref="E11:J11" si="1">$I$36/12</f>
        <v>208.91666666666666</v>
      </c>
      <c r="F11" s="13">
        <f t="shared" si="1"/>
        <v>208.91666666666666</v>
      </c>
      <c r="G11" s="13">
        <f t="shared" si="1"/>
        <v>208.91666666666666</v>
      </c>
      <c r="H11" s="13">
        <f t="shared" si="1"/>
        <v>208.91666666666666</v>
      </c>
      <c r="I11" s="13">
        <f t="shared" si="1"/>
        <v>208.91666666666666</v>
      </c>
      <c r="J11" s="13">
        <f t="shared" si="1"/>
        <v>208.91666666666666</v>
      </c>
    </row>
    <row r="12" spans="3:10">
      <c r="C12" s="37" t="s">
        <v>23</v>
      </c>
      <c r="D12" s="26">
        <f>SUM(D9:D11)</f>
        <v>90208.916666666672</v>
      </c>
      <c r="E12" s="26">
        <f t="shared" ref="E12:J12" si="2">SUM(E9:E11)</f>
        <v>208.91666666666666</v>
      </c>
      <c r="F12" s="26">
        <f t="shared" si="2"/>
        <v>208.91666666666666</v>
      </c>
      <c r="G12" s="26">
        <f t="shared" si="2"/>
        <v>208.91666666666666</v>
      </c>
      <c r="H12" s="26">
        <f t="shared" si="2"/>
        <v>208.91666666666666</v>
      </c>
      <c r="I12" s="26">
        <f t="shared" si="2"/>
        <v>208.91666666666666</v>
      </c>
      <c r="J12" s="26">
        <f t="shared" si="2"/>
        <v>208.91666666666666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102816.74930606992</v>
      </c>
      <c r="E15" s="27">
        <f t="shared" ref="E15:J15" si="3">E6+E12</f>
        <v>12840.366209924283</v>
      </c>
      <c r="F15" s="27">
        <f t="shared" si="3"/>
        <v>12864.00491449569</v>
      </c>
      <c r="G15" s="27">
        <f t="shared" si="3"/>
        <v>12887.665583289538</v>
      </c>
      <c r="H15" s="27">
        <f t="shared" si="3"/>
        <v>12911.348381037471</v>
      </c>
      <c r="I15" s="27">
        <f t="shared" si="3"/>
        <v>12935.05347370667</v>
      </c>
      <c r="J15" s="27">
        <f t="shared" si="3"/>
        <v>12958.781028509031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387.56830312687111</v>
      </c>
      <c r="E18" s="6">
        <f>'Loan Amortization Table'!C15</f>
        <v>390.47506540032271</v>
      </c>
      <c r="F18" s="6">
        <f>'Loan Amortization Table'!C16</f>
        <v>393.40362839082513</v>
      </c>
      <c r="G18" s="6">
        <f>'Loan Amortization Table'!C17</f>
        <v>396.35415560375634</v>
      </c>
      <c r="H18" s="6">
        <f>'Loan Amortization Table'!C18</f>
        <v>399.32681177078439</v>
      </c>
      <c r="I18" s="6">
        <f>'Loan Amortization Table'!C19</f>
        <v>402.3217628590653</v>
      </c>
      <c r="J18" s="6">
        <f>'Loan Amortization Table'!C20</f>
        <v>405.3391760805082</v>
      </c>
    </row>
    <row r="19" spans="3:10">
      <c r="C19" s="12" t="s">
        <v>25</v>
      </c>
      <c r="D19" s="13">
        <f>$I$44/12</f>
        <v>146.24166666666665</v>
      </c>
      <c r="E19" s="13">
        <f t="shared" ref="E19:J19" si="4">$I$44/12</f>
        <v>146.24166666666665</v>
      </c>
      <c r="F19" s="13">
        <f t="shared" si="4"/>
        <v>146.24166666666665</v>
      </c>
      <c r="G19" s="13">
        <f t="shared" si="4"/>
        <v>146.24166666666665</v>
      </c>
      <c r="H19" s="13">
        <f t="shared" si="4"/>
        <v>146.24166666666665</v>
      </c>
      <c r="I19" s="13">
        <f t="shared" si="4"/>
        <v>146.24166666666665</v>
      </c>
      <c r="J19" s="13">
        <f t="shared" si="4"/>
        <v>146.24166666666665</v>
      </c>
    </row>
    <row r="20" spans="3:10">
      <c r="C20" s="31" t="s">
        <v>33</v>
      </c>
      <c r="D20" s="6">
        <f>I45</f>
        <v>56000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56533.809969793539</v>
      </c>
      <c r="E22" s="26">
        <f t="shared" ref="E22:J22" si="5">SUM(E18:E21)</f>
        <v>536.71673206698938</v>
      </c>
      <c r="F22" s="26">
        <f t="shared" si="5"/>
        <v>539.64529505749181</v>
      </c>
      <c r="G22" s="26">
        <f t="shared" si="5"/>
        <v>542.59582227042301</v>
      </c>
      <c r="H22" s="26">
        <f t="shared" si="5"/>
        <v>545.56847843745106</v>
      </c>
      <c r="I22" s="26">
        <f t="shared" si="5"/>
        <v>548.56342952573198</v>
      </c>
      <c r="J22" s="26">
        <f t="shared" si="5"/>
        <v>551.58084274717487</v>
      </c>
    </row>
    <row r="23" spans="3:10">
      <c r="C23" s="30"/>
    </row>
    <row r="24" spans="3:10">
      <c r="C24" s="42" t="s">
        <v>27</v>
      </c>
      <c r="D24" s="25">
        <f>D15-D22</f>
        <v>46282.93933627638</v>
      </c>
      <c r="E24" s="25">
        <f t="shared" ref="E24:J24" si="6">E15-E22</f>
        <v>12303.649477857294</v>
      </c>
      <c r="F24" s="25">
        <f t="shared" si="6"/>
        <v>12324.359619438199</v>
      </c>
      <c r="G24" s="25">
        <f t="shared" si="6"/>
        <v>12345.069761019115</v>
      </c>
      <c r="H24" s="25">
        <f t="shared" si="6"/>
        <v>12365.779902600019</v>
      </c>
      <c r="I24" s="25">
        <f t="shared" si="6"/>
        <v>12386.490044180939</v>
      </c>
      <c r="J24" s="25">
        <f t="shared" si="6"/>
        <v>12407.200185761856</v>
      </c>
    </row>
    <row r="25" spans="3:10">
      <c r="C25" s="42" t="s">
        <v>6</v>
      </c>
      <c r="D25" s="25">
        <f>D24</f>
        <v>46282.93933627638</v>
      </c>
      <c r="E25" s="25">
        <f>D25+E24</f>
        <v>58586.588814133676</v>
      </c>
      <c r="F25" s="25">
        <f t="shared" ref="F25:J25" si="7">E25+F24</f>
        <v>70910.948433571873</v>
      </c>
      <c r="G25" s="25">
        <f t="shared" si="7"/>
        <v>83256.018194590986</v>
      </c>
      <c r="H25" s="25">
        <f t="shared" si="7"/>
        <v>95621.798097191</v>
      </c>
      <c r="I25" s="25">
        <f t="shared" si="7"/>
        <v>108008.28814137194</v>
      </c>
      <c r="J25" s="25">
        <f t="shared" si="7"/>
        <v>120415.4883271338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12773.614547243875</v>
      </c>
      <c r="E31" s="13">
        <f>'Expanded Profit and Loss'!D56+'Expanded Profit and Loss'!D55</f>
        <v>12797.387532974049</v>
      </c>
      <c r="F31" s="13">
        <f>'Expanded Profit and Loss'!E56+'Expanded Profit and Loss'!E55</f>
        <v>12821.183490035331</v>
      </c>
      <c r="G31" s="13">
        <f>'Expanded Profit and Loss'!F56+'Expanded Profit and Loss'!F55</f>
        <v>12845.002590712731</v>
      </c>
      <c r="H31" s="13">
        <f>'Expanded Profit and Loss'!G56+'Expanded Profit and Loss'!G55</f>
        <v>12868.845008583337</v>
      </c>
      <c r="I31" s="13">
        <f>'Cash Flow Analysis'!E6</f>
        <v>152857.5853999152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75000</v>
      </c>
      <c r="J35" s="30"/>
    </row>
    <row r="36" spans="3:10">
      <c r="C36" s="12" t="s">
        <v>22</v>
      </c>
      <c r="D36" s="13">
        <f>$I$36/12</f>
        <v>208.91666666666666</v>
      </c>
      <c r="E36" s="13">
        <f t="shared" ref="E36:H36" si="11">$I$36/12</f>
        <v>208.91666666666666</v>
      </c>
      <c r="F36" s="13">
        <f t="shared" si="11"/>
        <v>208.91666666666666</v>
      </c>
      <c r="G36" s="13">
        <f t="shared" si="11"/>
        <v>208.91666666666666</v>
      </c>
      <c r="H36" s="13">
        <f t="shared" si="11"/>
        <v>208.91666666666666</v>
      </c>
      <c r="I36" s="20">
        <f>'Cash Flow Analysis'!E11</f>
        <v>2507</v>
      </c>
      <c r="J36" s="30"/>
    </row>
    <row r="37" spans="3:10">
      <c r="C37" s="37" t="s">
        <v>23</v>
      </c>
      <c r="D37" s="26">
        <f>SUM(D34:D36)</f>
        <v>208.91666666666666</v>
      </c>
      <c r="E37" s="26">
        <f t="shared" ref="E37:H37" si="12">SUM(E34:E36)</f>
        <v>208.91666666666666</v>
      </c>
      <c r="F37" s="26">
        <f t="shared" si="12"/>
        <v>208.91666666666666</v>
      </c>
      <c r="G37" s="26">
        <f t="shared" si="12"/>
        <v>208.91666666666666</v>
      </c>
      <c r="H37" s="26">
        <f t="shared" si="12"/>
        <v>208.91666666666666</v>
      </c>
      <c r="I37" s="44">
        <f>'Cash Flow Analysis'!E12</f>
        <v>92507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12982.531213910541</v>
      </c>
      <c r="E40" s="27">
        <f t="shared" ref="E40:H40" si="13">E31+E37</f>
        <v>13006.304199640716</v>
      </c>
      <c r="F40" s="27">
        <f t="shared" si="13"/>
        <v>13030.100156701998</v>
      </c>
      <c r="G40" s="27">
        <f t="shared" si="13"/>
        <v>13053.919257379397</v>
      </c>
      <c r="H40" s="27">
        <f t="shared" si="13"/>
        <v>13077.761675250003</v>
      </c>
      <c r="I40" s="36">
        <f>'Cash Flow Analysis'!E15</f>
        <v>245364.5853999152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408.37921990111204</v>
      </c>
      <c r="E43" s="6">
        <f>'Loan Amortization Table'!C22</f>
        <v>411.44206405037039</v>
      </c>
      <c r="F43" s="6">
        <f>'Loan Amortization Table'!C23</f>
        <v>414.52787953074812</v>
      </c>
      <c r="G43" s="6">
        <f>'Loan Amortization Table'!C24</f>
        <v>417.63683862722883</v>
      </c>
      <c r="H43" s="6">
        <f>'Loan Amortization Table'!C25</f>
        <v>420.76911491693295</v>
      </c>
      <c r="I43" s="6">
        <f>'Cash Flow Analysis'!E18</f>
        <v>4847.5440202585251</v>
      </c>
      <c r="J43" s="30"/>
    </row>
    <row r="44" spans="3:10">
      <c r="C44" s="12" t="s">
        <v>25</v>
      </c>
      <c r="D44" s="13">
        <f>$I$44/12</f>
        <v>146.24166666666665</v>
      </c>
      <c r="E44" s="13">
        <f t="shared" ref="E44:H44" si="14">$I$44/12</f>
        <v>146.24166666666665</v>
      </c>
      <c r="F44" s="13">
        <f t="shared" si="14"/>
        <v>146.24166666666665</v>
      </c>
      <c r="G44" s="13">
        <f t="shared" si="14"/>
        <v>146.24166666666665</v>
      </c>
      <c r="H44" s="13">
        <f t="shared" si="14"/>
        <v>146.24166666666665</v>
      </c>
      <c r="I44" s="13">
        <f>'Cash Flow Analysis'!E19</f>
        <v>1754.8999999999999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56000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107000.30977994064</v>
      </c>
      <c r="I46" s="13">
        <f>'Cash Flow Analysis'!E21</f>
        <v>107000.30977994064</v>
      </c>
      <c r="J46" s="30"/>
    </row>
    <row r="47" spans="3:10">
      <c r="C47" s="37" t="s">
        <v>26</v>
      </c>
      <c r="D47" s="26">
        <f>SUM(D43:D46)</f>
        <v>554.62088656777871</v>
      </c>
      <c r="E47" s="26">
        <f t="shared" ref="E47:H47" si="15">SUM(E43:E46)</f>
        <v>557.68373071703707</v>
      </c>
      <c r="F47" s="26">
        <f t="shared" si="15"/>
        <v>560.7695461974148</v>
      </c>
      <c r="G47" s="26">
        <f t="shared" si="15"/>
        <v>563.8785052938955</v>
      </c>
      <c r="H47" s="26">
        <f t="shared" si="15"/>
        <v>107567.32056152423</v>
      </c>
      <c r="I47" s="26">
        <f>'Cash Flow Analysis'!E22</f>
        <v>169602.75380019916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12427.910327342763</v>
      </c>
      <c r="E49" s="25">
        <f t="shared" ref="E49:H49" si="16">E40-E47</f>
        <v>12448.620468923678</v>
      </c>
      <c r="F49" s="25">
        <f t="shared" si="16"/>
        <v>12469.330610504583</v>
      </c>
      <c r="G49" s="25">
        <f t="shared" si="16"/>
        <v>12490.040752085502</v>
      </c>
      <c r="H49" s="25">
        <f t="shared" si="16"/>
        <v>-94489.55888627423</v>
      </c>
      <c r="I49" s="45">
        <f>'Cash Flow Analysis'!E24</f>
        <v>75761.831599716039</v>
      </c>
      <c r="J49" s="30"/>
    </row>
    <row r="50" spans="3:10">
      <c r="C50" s="42" t="s">
        <v>6</v>
      </c>
      <c r="D50" s="25">
        <f>J25+D49</f>
        <v>132843.39865447656</v>
      </c>
      <c r="E50" s="25">
        <f>D50+E49</f>
        <v>145292.01912340024</v>
      </c>
      <c r="F50" s="25">
        <f t="shared" ref="F50:H50" si="17">E50+F49</f>
        <v>157761.34973390482</v>
      </c>
      <c r="G50" s="25">
        <f t="shared" si="17"/>
        <v>170251.39048599033</v>
      </c>
      <c r="H50" s="25">
        <f t="shared" si="17"/>
        <v>75761.831599716097</v>
      </c>
      <c r="I50" s="45">
        <f>'Cash Flow Analysis'!E25</f>
        <v>75761.831599716039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62124.337399559256</v>
      </c>
      <c r="E58" s="48">
        <f>'Expanded Profit and Loss'!D84+'Expanded Profit and Loss'!D83</f>
        <v>62153.384243832552</v>
      </c>
      <c r="F58" s="48">
        <f>'Expanded Profit and Loss'!E84+'Expanded Profit and Loss'!E83</f>
        <v>62183.089556011109</v>
      </c>
      <c r="G58" s="48">
        <f>'Expanded Profit and Loss'!F84+'Expanded Profit and Loss'!F83</f>
        <v>62213.46826301705</v>
      </c>
      <c r="H58" s="46">
        <f>'Cash Flow Analysis'!F6</f>
        <v>248674.27946241997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639.28499999999997</v>
      </c>
      <c r="E63" s="49">
        <f>$H$63/4</f>
        <v>639.28499999999997</v>
      </c>
      <c r="F63" s="49">
        <f>$H$63/4</f>
        <v>639.28499999999997</v>
      </c>
      <c r="G63" s="49">
        <f>$H$63/4</f>
        <v>639.28499999999997</v>
      </c>
      <c r="H63" s="13">
        <f>'Cash Flow Analysis'!F11</f>
        <v>2557.14</v>
      </c>
    </row>
    <row r="64" spans="3:10">
      <c r="C64" s="37" t="s">
        <v>23</v>
      </c>
      <c r="D64" s="51">
        <f>SUM(D61:D63)</f>
        <v>639.28499999999997</v>
      </c>
      <c r="E64" s="51">
        <f t="shared" ref="E64:G64" si="18">SUM(E61:E63)</f>
        <v>639.28499999999997</v>
      </c>
      <c r="F64" s="51">
        <f t="shared" si="18"/>
        <v>639.28499999999997</v>
      </c>
      <c r="G64" s="51">
        <f t="shared" si="18"/>
        <v>639.28499999999997</v>
      </c>
      <c r="H64" s="32">
        <f>'Cash Flow Analysis'!F12</f>
        <v>2557.14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62763.622399559259</v>
      </c>
      <c r="E67" s="48">
        <f t="shared" ref="E67:G67" si="19">E58+E64</f>
        <v>62792.669243832555</v>
      </c>
      <c r="F67" s="48">
        <f t="shared" si="19"/>
        <v>62822.374556011113</v>
      </c>
      <c r="G67" s="48">
        <f t="shared" si="19"/>
        <v>62852.753263017054</v>
      </c>
      <c r="H67" s="27">
        <f>'Cash Flow Analysis'!F15</f>
        <v>251231.41946241999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1281.3368054848875</v>
      </c>
      <c r="E70" s="50">
        <f>SUM('Loan Amortization Table'!C29:C31)</f>
        <v>1310.3836497581879</v>
      </c>
      <c r="F70" s="50">
        <f>SUM('Loan Amortization Table'!C32:C34)</f>
        <v>1340.0889619367458</v>
      </c>
      <c r="G70" s="50">
        <f>SUM('Loan Amortization Table'!C35:C37)</f>
        <v>1370.4676689426806</v>
      </c>
      <c r="H70" s="32">
        <f>'Cash Flow Analysis'!F18</f>
        <v>5302.2770861225017</v>
      </c>
    </row>
    <row r="71" spans="3:8">
      <c r="C71" s="12" t="s">
        <v>25</v>
      </c>
      <c r="D71" s="49">
        <f>$H$71/4</f>
        <v>447.49949999999995</v>
      </c>
      <c r="E71" s="49">
        <f>$H$71/4</f>
        <v>447.49949999999995</v>
      </c>
      <c r="F71" s="49">
        <f>$H$71/4</f>
        <v>447.49949999999995</v>
      </c>
      <c r="G71" s="49">
        <f>$H$71/4</f>
        <v>447.49949999999995</v>
      </c>
      <c r="H71" s="13">
        <f>'Cash Flow Analysis'!F19</f>
        <v>1789.9979999999998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174071.99562369398</v>
      </c>
      <c r="H73" s="13">
        <f>'Cash Flow Analysis'!F21</f>
        <v>174071.99562369398</v>
      </c>
    </row>
    <row r="74" spans="3:8">
      <c r="C74" s="37" t="s">
        <v>26</v>
      </c>
      <c r="D74" s="51">
        <f>SUM(D70:D73)</f>
        <v>1728.8363054848874</v>
      </c>
      <c r="E74" s="51">
        <f t="shared" ref="E74:G74" si="20">SUM(E70:E73)</f>
        <v>1757.8831497581878</v>
      </c>
      <c r="F74" s="51">
        <f t="shared" si="20"/>
        <v>1787.5884619367457</v>
      </c>
      <c r="G74" s="51">
        <f t="shared" si="20"/>
        <v>175889.96279263665</v>
      </c>
      <c r="H74" s="34">
        <f>'Cash Flow Analysis'!F22</f>
        <v>181164.27070981648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61034.78609407437</v>
      </c>
      <c r="E76" s="52">
        <f t="shared" ref="E76:G76" si="21">E67-E74</f>
        <v>61034.78609407437</v>
      </c>
      <c r="F76" s="52">
        <f t="shared" si="21"/>
        <v>61034.78609407437</v>
      </c>
      <c r="G76" s="52">
        <f t="shared" si="21"/>
        <v>-113037.20952961961</v>
      </c>
      <c r="H76" s="40">
        <f>'Cash Flow Analysis'!F24</f>
        <v>70067.148752603505</v>
      </c>
    </row>
    <row r="77" spans="3:8">
      <c r="C77" s="42" t="s">
        <v>6</v>
      </c>
      <c r="D77" s="52">
        <f>I50+D76</f>
        <v>136796.61769379041</v>
      </c>
      <c r="E77" s="52">
        <f>D77+E76</f>
        <v>197831.40378786478</v>
      </c>
      <c r="F77" s="52">
        <f t="shared" ref="F77:G77" si="22">E77+F76</f>
        <v>258866.18988193915</v>
      </c>
      <c r="G77" s="52">
        <f t="shared" si="22"/>
        <v>145828.98035231954</v>
      </c>
      <c r="H77" s="40">
        <f>'Cash Flow Analysis'!F25</f>
        <v>145828.98035231954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83240.833132165339</v>
      </c>
      <c r="E84" s="48">
        <f>'Expanded Profit and Loss'!D114+'Expanded Profit and Loss'!D113</f>
        <v>83272.60477078706</v>
      </c>
      <c r="F84" s="48">
        <f>'Expanded Profit and Loss'!E114+'Expanded Profit and Loss'!E113</f>
        <v>83305.096646145437</v>
      </c>
      <c r="G84" s="48">
        <f>'Expanded Profit and Loss'!F114+'Expanded Profit and Loss'!F113</f>
        <v>83338.325085410848</v>
      </c>
      <c r="H84" s="27">
        <f>'Cash Flow Analysis'!G6</f>
        <v>333156.85963450873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652.07069999999999</v>
      </c>
      <c r="E89" s="49">
        <f>$H$89/4</f>
        <v>652.07069999999999</v>
      </c>
      <c r="F89" s="49">
        <f>$H$89/4</f>
        <v>652.07069999999999</v>
      </c>
      <c r="G89" s="49">
        <f>$H$89/4</f>
        <v>652.07069999999999</v>
      </c>
      <c r="H89" s="13">
        <f>'Cash Flow Analysis'!G12</f>
        <v>2608.2828</v>
      </c>
    </row>
    <row r="90" spans="3:8">
      <c r="C90" s="37" t="s">
        <v>23</v>
      </c>
      <c r="D90" s="51">
        <f>SUM(D87:D89)</f>
        <v>652.07069999999999</v>
      </c>
      <c r="E90" s="51">
        <f t="shared" ref="E90:G90" si="23">SUM(E87:E89)</f>
        <v>652.07069999999999</v>
      </c>
      <c r="F90" s="51">
        <f t="shared" si="23"/>
        <v>652.07069999999999</v>
      </c>
      <c r="G90" s="51">
        <f t="shared" si="23"/>
        <v>652.07069999999999</v>
      </c>
      <c r="H90" s="34">
        <f>'Cash Flow Analysis'!G12</f>
        <v>2608.2828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83892.903832165335</v>
      </c>
      <c r="E93" s="48">
        <f t="shared" ref="E93:G93" si="24">E90+E84</f>
        <v>83924.675470787057</v>
      </c>
      <c r="F93" s="48">
        <f t="shared" si="24"/>
        <v>83957.167346145434</v>
      </c>
      <c r="G93" s="48">
        <f t="shared" si="24"/>
        <v>83990.395785410845</v>
      </c>
      <c r="H93" s="27">
        <f>'Cash Flow Analysis'!G15</f>
        <v>335765.14243450871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1401.5350360790726</v>
      </c>
      <c r="E96" s="50">
        <f>SUM('Loan Amortization Table'!C41:C43)</f>
        <v>1433.3066747007836</v>
      </c>
      <c r="F96" s="50">
        <f>SUM('Loan Amortization Table'!C44:C46)</f>
        <v>1465.7985500591603</v>
      </c>
      <c r="G96" s="50">
        <f>SUM('Loan Amortization Table'!C47:C49)</f>
        <v>1499.026989324577</v>
      </c>
      <c r="H96" s="32">
        <f>'Cash Flow Analysis'!G18</f>
        <v>5799.6672501635931</v>
      </c>
    </row>
    <row r="97" spans="3:8">
      <c r="C97" s="12" t="s">
        <v>25</v>
      </c>
      <c r="D97" s="49">
        <f>$H$97/4</f>
        <v>456.44948999999997</v>
      </c>
      <c r="E97" s="49">
        <f t="shared" ref="E97:G97" si="25">$H$97/4</f>
        <v>456.44948999999997</v>
      </c>
      <c r="F97" s="49">
        <f t="shared" si="25"/>
        <v>456.44948999999997</v>
      </c>
      <c r="G97" s="49">
        <f t="shared" si="25"/>
        <v>456.44948999999997</v>
      </c>
      <c r="H97" s="13">
        <f>'Cash Flow Analysis'!G19</f>
        <v>1825.7979599999999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233209.80174415608</v>
      </c>
      <c r="H99" s="13">
        <f>'Cash Flow Analysis'!G21</f>
        <v>233209.80174415608</v>
      </c>
    </row>
    <row r="100" spans="3:8">
      <c r="C100" s="37" t="s">
        <v>26</v>
      </c>
      <c r="D100" s="51">
        <f>SUM(D96:D99)</f>
        <v>1857.9845260790726</v>
      </c>
      <c r="E100" s="51">
        <f t="shared" ref="E100:G100" si="26">SUM(E96:E99)</f>
        <v>1889.7561647007835</v>
      </c>
      <c r="F100" s="51">
        <f t="shared" si="26"/>
        <v>1922.2480400591603</v>
      </c>
      <c r="G100" s="51">
        <f t="shared" si="26"/>
        <v>235165.27822348065</v>
      </c>
      <c r="H100" s="34">
        <f>'Cash Flow Analysis'!G22</f>
        <v>240835.26695431967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82034.91930608626</v>
      </c>
      <c r="E102" s="52">
        <f t="shared" ref="E102:G102" si="27">E93-E100</f>
        <v>82034.919306086274</v>
      </c>
      <c r="F102" s="52">
        <f t="shared" si="27"/>
        <v>82034.919306086274</v>
      </c>
      <c r="G102" s="52">
        <f t="shared" si="27"/>
        <v>-151174.88243806979</v>
      </c>
      <c r="H102" s="40">
        <f>'Cash Flow Analysis'!G24</f>
        <v>94929.875480189046</v>
      </c>
    </row>
    <row r="103" spans="3:8">
      <c r="C103" s="42" t="s">
        <v>6</v>
      </c>
      <c r="D103" s="52">
        <f>G77+D102</f>
        <v>227863.8996584058</v>
      </c>
      <c r="E103" s="52">
        <f>D103+E102</f>
        <v>309898.81896449206</v>
      </c>
      <c r="F103" s="52">
        <f t="shared" ref="F103:G103" si="28">E103+F102</f>
        <v>391933.73827057832</v>
      </c>
      <c r="G103" s="52">
        <f t="shared" si="28"/>
        <v>240758.85583250853</v>
      </c>
      <c r="H103" s="40">
        <f>'Cash Flow Analysis'!G25</f>
        <v>240758.85583250859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2025-10-04T19:14:46Z</dcterms:modified>
</cp:coreProperties>
</file>