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Assisted Living Facility\"/>
    </mc:Choice>
  </mc:AlternateContent>
  <xr:revisionPtr revIDLastSave="0" documentId="13_ncr:1_{EC0B9478-F5EB-4321-A135-6E5ACF534EF6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3" l="1"/>
  <c r="H8" i="14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G8" i="14" l="1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D290" i="8" s="1"/>
  <c r="B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D295" i="8" s="1"/>
  <c r="B295" i="8"/>
  <c r="A296" i="8"/>
  <c r="C295" i="8" l="1"/>
  <c r="E295" i="8" s="1"/>
  <c r="D296" i="8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l="1"/>
  <c r="E317" i="8" s="1"/>
  <c r="A319" i="8"/>
  <c r="B318" i="8"/>
  <c r="D318" i="8"/>
  <c r="C318" i="8" l="1"/>
  <c r="E318" i="8" s="1"/>
  <c r="B319" i="8"/>
  <c r="D319" i="8"/>
  <c r="A320" i="8"/>
  <c r="C319" i="8" l="1"/>
  <c r="E319" i="8" s="1"/>
  <c r="B320" i="8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l="1"/>
  <c r="E323" i="8" s="1"/>
  <c r="A325" i="8"/>
  <c r="D324" i="8"/>
  <c r="B324" i="8"/>
  <c r="C324" i="8" l="1"/>
  <c r="E324" i="8" s="1"/>
  <c r="B325" i="8"/>
  <c r="D325" i="8"/>
  <c r="A326" i="8"/>
  <c r="C325" i="8" l="1"/>
  <c r="E325" i="8" s="1"/>
  <c r="A327" i="8"/>
  <c r="B326" i="8"/>
  <c r="D326" i="8"/>
  <c r="C326" i="8" l="1"/>
  <c r="E326" i="8" s="1"/>
  <c r="D327" i="8" s="1"/>
  <c r="B327" i="8"/>
  <c r="A328" i="8"/>
  <c r="C327" i="8" l="1"/>
  <c r="E327" i="8" s="1"/>
  <c r="D328" i="8" s="1"/>
  <c r="B328" i="8"/>
  <c r="A329" i="8"/>
  <c r="C328" i="8" l="1"/>
  <c r="E328" i="8" s="1"/>
  <c r="B329" i="8"/>
  <c r="A330" i="8"/>
  <c r="D329" i="8"/>
  <c r="C329" i="8" l="1"/>
  <c r="E329" i="8" s="1"/>
  <c r="D330" i="8" s="1"/>
  <c r="B330" i="8"/>
  <c r="A331" i="8"/>
  <c r="C330" i="8" l="1"/>
  <c r="E330" i="8" s="1"/>
  <c r="B331" i="8"/>
  <c r="D331" i="8"/>
  <c r="A332" i="8"/>
  <c r="C331" i="8" l="1"/>
  <c r="E331" i="8" s="1"/>
  <c r="B332" i="8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l="1"/>
  <c r="E335" i="8" s="1"/>
  <c r="A337" i="8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A344" i="8"/>
  <c r="B343" i="8"/>
  <c r="C343" i="8" l="1"/>
  <c r="E343" i="8" s="1"/>
  <c r="B344" i="8"/>
  <c r="A345" i="8"/>
  <c r="D344" i="8"/>
  <c r="C344" i="8" l="1"/>
  <c r="E344" i="8" s="1"/>
  <c r="D345" i="8"/>
  <c r="A346" i="8"/>
  <c r="B345" i="8"/>
  <c r="C345" i="8" l="1"/>
  <c r="E345" i="8" s="1"/>
  <c r="D346" i="8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l="1"/>
  <c r="E348" i="8" s="1"/>
  <c r="B349" i="8"/>
  <c r="D349" i="8"/>
  <c r="A350" i="8"/>
  <c r="C349" i="8" l="1"/>
  <c r="E349" i="8" s="1"/>
  <c r="B350" i="8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D355" i="8"/>
  <c r="C355" i="8" l="1"/>
  <c r="E355" i="8" s="1"/>
  <c r="B356" i="8"/>
  <c r="D356" i="8"/>
  <c r="A357" i="8"/>
  <c r="C356" i="8" l="1"/>
  <c r="E356" i="8" s="1"/>
  <c r="D357" i="8"/>
  <c r="B357" i="8"/>
  <c r="A358" i="8"/>
  <c r="C357" i="8" l="1"/>
  <c r="E357" i="8" s="1"/>
  <c r="D358" i="8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l="1"/>
  <c r="E369" i="8" s="1"/>
  <c r="A371" i="8"/>
  <c r="D370" i="8"/>
  <c r="B370" i="8"/>
  <c r="C370" i="8" s="1"/>
  <c r="E370" i="8" s="1"/>
  <c r="A372" i="8" l="1"/>
  <c r="B371" i="8"/>
  <c r="D371" i="8"/>
  <c r="C371" i="8" l="1"/>
  <c r="E371" i="8" s="1"/>
  <c r="D372" i="8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<sst xmlns="http://schemas.openxmlformats.org/spreadsheetml/2006/main" count="321" uniqueCount="140">
  <si>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</si>
  <si>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</si>
  <si>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</si>
  <si>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</si>
  <si>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</si>
  <si>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</si>
  <si>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</si>
  <si>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</si>
  <si>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</si>
  <si>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</si>
  <si>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</si>
  <si>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</si>
  <si>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</si>
  <si>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</si>
  <si>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</si>
  <si>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</si>
  <si>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</si>
  <si>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</si>
  <si>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</si>
  <si>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</si>
  <si>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</si>
  <si>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</si>
  <si>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</si>
  <si>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</si>
  <si>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</si>
  <si>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</si>
  <si>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</si>
  <si>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</si>
  <si>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</si>
  <si>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</si>
  <si>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</si>
  <si>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</si>
  <si>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</si>
  <si>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</si>
  <si>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</si>
  <si>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</si>
  <si>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</si>
  <si>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</si>
  <si>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</si>
  <si>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</si>
  <si>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</si>
  <si>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</si>
  <si>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</si>
  <si>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</si>
  <si>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</si>
  <si>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</si>
  <si>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</si>
  <si>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</si>
  <si>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</si>
  <si>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</si>
  <si>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</si>
  <si>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</si>
  <si>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</si>
  <si>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</si>
  <si>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</si>
  <si>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</si>
  <si>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</si>
  <si>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</si>
  <si>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</si>
  <si>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</si>
  <si>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</si>
  <si>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</si>
  <si>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</si>
  <si>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</si>
  <si>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</si>
  <si>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</si>
  <si>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</si>
  <si>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</si>
  <si>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</si>
  <si>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</si>
  <si>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</si>
  <si>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</si>
  <si>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</si>
  <si>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</si>
  <si>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</si>
  <si>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</si>
  <si>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</si>
  <si>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</si>
  <si>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</si>
  <si>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</si>
  <si>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</si>
  <si>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</si>
  <si>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</si>
  <si>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</si>
  <si>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</si>
  <si>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</si>
  <si>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</si>
  <si>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</si>
  <si>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</si>
  <si>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</si>
  <si>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</si>
  <si>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</si>
  <si>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</si>
  <si>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</si>
  <si>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</si>
  <si>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</si>
  <si>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</si>
  <si>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</si>
  <si>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</si>
  <si>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</si>
  <si>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</si>
  <si>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</si>
  <si>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</si>
  <si>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</si>
  <si>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</si>
  <si>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</si>
  <si>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</si>
  <si>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</si>
  <si>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</si>
  <si>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</si>
  <si>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</si>
  <si>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</si>
  <si>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</si>
  <si>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</si>
  <si>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</si>
  <si>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</si>
  <si>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</si>
  <si>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</si>
  <si>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</si>
  <si>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</si>
  <si>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</si>
  <si>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</si>
  <si>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</si>
  <si>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</si>
  <si>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</si>
  <si>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</si>
  <si>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</si>
  <si>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</si>
  <si>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</si>
  <si>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</si>
  <si>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Other Income</t>
  </si>
  <si>
    <t>Real Estate and FF&amp;E</t>
  </si>
  <si>
    <t>Assisted Living Fees</t>
  </si>
  <si>
    <t>Location Staff</t>
  </si>
  <si>
    <t>Accountant</t>
  </si>
  <si>
    <t>CompleteBizPlans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</si>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</sst>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11" borderId="1" xfId="0" applyFill="1" applyBorder="1"/>
    <xf numFmtId="164" fontId="0" fillId="11" borderId="1" xfId="0" applyNumberFormat="1" applyFill="1" applyBorder="1"/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302628.28684002761</c:v>
                </c:pt>
                <c:pt idx="1">
                  <c:v>370067.64032774779</c:v>
                </c:pt>
                <c:pt idx="2">
                  <c:v>444788.24710916239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20316.196585900638</c:v>
                </c:pt>
                <c:pt idx="1">
                  <c:v>21784.856079786568</c:v>
                </c:pt>
                <c:pt idx="2">
                  <c:v>23359.685087235815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211839.80078801932</c:v>
                </c:pt>
                <c:pt idx="1">
                  <c:v>259047.34822942343</c:v>
                </c:pt>
                <c:pt idx="2">
                  <c:v>311351.77297641366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302628.28684002761</c:v>
                </c:pt>
                <c:pt idx="1">
                  <c:v>370067.64032774779</c:v>
                </c:pt>
                <c:pt idx="2">
                  <c:v>444788.24710916239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0AA-45D2-AE87-12690575CD93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0AA-45D2-AE87-12690575CD9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211839.80078801932</c:v>
                </c:pt>
                <c:pt idx="1">
                  <c:v>259047.34822942343</c:v>
                </c:pt>
                <c:pt idx="2">
                  <c:v>311351.77297641366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2263472.2894661077</c:v>
                </c:pt>
                <c:pt idx="1">
                  <c:v>2295767.7254846455</c:v>
                </c:pt>
                <c:pt idx="2">
                  <c:v>2348965.7145301583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9-4B0E-9B8A-58D576534847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1982683.8034140994</c:v>
                </c:pt>
                <c:pt idx="1">
                  <c:v>1963958.9473343126</c:v>
                </c:pt>
                <c:pt idx="2">
                  <c:v>1943720.4622470767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9-4B0E-9B8A-58D576534847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280788.48605200835</c:v>
                </c:pt>
                <c:pt idx="1">
                  <c:v>331808.77815033286</c:v>
                </c:pt>
                <c:pt idx="2">
                  <c:v>405245.25228308165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9-4B0E-9B8A-58D57653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Assisted Living Fees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686682.58884210535</c:v>
                </c:pt>
                <c:pt idx="1">
                  <c:v>712954.58456842124</c:v>
                </c:pt>
                <c:pt idx="2">
                  <c:v>741002.94460421056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686682.58884210535</c:v>
                </c:pt>
                <c:pt idx="1">
                  <c:v>712954.58456842124</c:v>
                </c:pt>
                <c:pt idx="2">
                  <c:v>741002.94460421056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1261386</c:v>
                </c:pt>
                <c:pt idx="1">
                  <c:v>1387524.6</c:v>
                </c:pt>
                <c:pt idx="2">
                  <c:v>1526277.0600000003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652348.45940000005</c:v>
                </c:pt>
                <c:pt idx="1">
                  <c:v>677306.85534000013</c:v>
                </c:pt>
                <c:pt idx="2">
                  <c:v>703952.79737399996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545968.2405999999</c:v>
                </c:pt>
                <c:pt idx="1">
                  <c:v>640841.51465999999</c:v>
                </c:pt>
                <c:pt idx="2">
                  <c:v>746010.40962600021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1261386</c:v>
                </c:pt>
                <c:pt idx="1">
                  <c:v>1387524.6</c:v>
                </c:pt>
                <c:pt idx="2">
                  <c:v>1526277.0600000003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545968.2405999999</c:v>
                </c:pt>
                <c:pt idx="1">
                  <c:v>640841.51465999999</c:v>
                </c:pt>
                <c:pt idx="2">
                  <c:v>746010.40962600021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2191400832177532E-2"/>
                  <c:y val="-0.13686080188252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652348.45940000005</c:v>
                </c:pt>
                <c:pt idx="1">
                  <c:v>677306.85534000013</c:v>
                </c:pt>
                <c:pt idx="2">
                  <c:v>703952.79737399996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Assisted Living Fees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2263472.2894661077</c:v>
                </c:pt>
                <c:pt idx="1">
                  <c:v>2295767.7254846455</c:v>
                </c:pt>
                <c:pt idx="2">
                  <c:v>2348965.7145301583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B6F-86F9-B80B82AA994D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1982683.8034140994</c:v>
                </c:pt>
                <c:pt idx="1">
                  <c:v>1963958.9473343126</c:v>
                </c:pt>
                <c:pt idx="2">
                  <c:v>1943720.4622470767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B6F-86F9-B80B82AA994D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280788.48605200835</c:v>
                </c:pt>
                <c:pt idx="1">
                  <c:v>331808.77815033286</c:v>
                </c:pt>
                <c:pt idx="2">
                  <c:v>405245.25228308165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B6F-86F9-B80B82AA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Location Staff</c:v>
                </c:pt>
                <c:pt idx="3">
                  <c:v>Administrative Staff</c:v>
                </c:pt>
                <c:pt idx="4">
                  <c:v>Accountant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0.19230769230769232</c:v>
                </c:pt>
                <c:pt idx="1">
                  <c:v>0.12820512820512819</c:v>
                </c:pt>
                <c:pt idx="2">
                  <c:v>0.44871794871794873</c:v>
                </c:pt>
                <c:pt idx="3">
                  <c:v>0.10256410256410256</c:v>
                </c:pt>
                <c:pt idx="4">
                  <c:v>0.12820512820512819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Real Estate and FF&amp;E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1925000</c:v>
                </c:pt>
                <c:pt idx="1">
                  <c:v>100000</c:v>
                </c:pt>
                <c:pt idx="2">
                  <c:v>25000</c:v>
                </c:pt>
                <c:pt idx="3">
                  <c:v>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1261386</c:v>
                </c:pt>
                <c:pt idx="1">
                  <c:v>1387524.6</c:v>
                </c:pt>
                <c:pt idx="2">
                  <c:v>1526277.0600000003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652348.45940000005</c:v>
                </c:pt>
                <c:pt idx="1">
                  <c:v>677306.85534000013</c:v>
                </c:pt>
                <c:pt idx="2">
                  <c:v>703952.79737399996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545968.2405999999</c:v>
                </c:pt>
                <c:pt idx="1">
                  <c:v>640841.51465999999</c:v>
                </c:pt>
                <c:pt idx="2">
                  <c:v>746010.40962600021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1261386</c:v>
                </c:pt>
                <c:pt idx="1">
                  <c:v>1387524.6</c:v>
                </c:pt>
                <c:pt idx="2">
                  <c:v>1526277.0600000003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5914485048343347E-2"/>
                  <c:y val="-3.2421475781327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545968.2405999999</c:v>
                </c:pt>
                <c:pt idx="1">
                  <c:v>640841.51465999999</c:v>
                </c:pt>
                <c:pt idx="2">
                  <c:v>746010.40962600021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0004070004070038E-2"/>
                  <c:y val="-7.0246530859543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652348.45940000005</c:v>
                </c:pt>
                <c:pt idx="1">
                  <c:v>677306.85534000013</c:v>
                </c:pt>
                <c:pt idx="2">
                  <c:v>703952.79737399996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302628.28684002761</c:v>
                </c:pt>
                <c:pt idx="1">
                  <c:v>370067.64032774779</c:v>
                </c:pt>
                <c:pt idx="2">
                  <c:v>444788.24710916239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20316.196585900638</c:v>
                </c:pt>
                <c:pt idx="1">
                  <c:v>21784.856079786568</c:v>
                </c:pt>
                <c:pt idx="2">
                  <c:v>23359.685087235815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211839.80078801932</c:v>
                </c:pt>
                <c:pt idx="1">
                  <c:v>259047.34822942343</c:v>
                </c:pt>
                <c:pt idx="2">
                  <c:v>311351.77297641366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302628.28684002761</c:v>
                </c:pt>
                <c:pt idx="1">
                  <c:v>370067.64032774779</c:v>
                </c:pt>
                <c:pt idx="2">
                  <c:v>444788.24710916239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5A8-4483-BEDA-AEAD73DA0C74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5A8-4483-BEDA-AEAD73DA0C7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2.201581671745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CE-4671-B65B-6B6FAECEFD09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211839.80078801932</c:v>
                </c:pt>
                <c:pt idx="1">
                  <c:v>259047.34822942343</c:v>
                </c:pt>
                <c:pt idx="2">
                  <c:v>311351.77297641366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2263472.2894661077</c:v>
                </c:pt>
                <c:pt idx="1">
                  <c:v>1982683.8034140994</c:v>
                </c:pt>
                <c:pt idx="2">
                  <c:v>280788.48605200835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2295767.7254846455</c:v>
                </c:pt>
                <c:pt idx="1">
                  <c:v>1963958.9473343126</c:v>
                </c:pt>
                <c:pt idx="2">
                  <c:v>331808.77815033286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2348965.7145301583</c:v>
                </c:pt>
                <c:pt idx="1">
                  <c:v>1943720.4622470767</c:v>
                </c:pt>
                <c:pt idx="2">
                  <c:v>405245.25228308165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438150</xdr:colOff>
      <xdr:row>1</xdr:row>
      <xdr:rowOff>190499</xdr:rowOff>
    </xdr:from>
    <xdr:to>
      <xdr:col>21</xdr:col>
      <xdr:colOff>247650</xdr:colOff>
      <xdr:row>13</xdr:row>
      <xdr:rowOff>19048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DEB430-F014-45C6-9FF4-F75CE53FC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447675</xdr:colOff>
      <xdr:row>29</xdr:row>
      <xdr:rowOff>95250</xdr:rowOff>
    </xdr:from>
    <xdr:to>
      <xdr:col>20</xdr:col>
      <xdr:colOff>523328</xdr:colOff>
      <xdr:row>41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E52745-11D8-4453-8815-A7719A6B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56197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390525</xdr:colOff>
      <xdr:row>2</xdr:row>
      <xdr:rowOff>28575</xdr:rowOff>
    </xdr:from>
    <xdr:to>
      <xdr:col>22</xdr:col>
      <xdr:colOff>466178</xdr:colOff>
      <xdr:row>13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06BEC-74F7-4AD8-AC31-ADFD2D659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4095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342900</xdr:colOff>
      <xdr:row>1</xdr:row>
      <xdr:rowOff>114300</xdr:rowOff>
    </xdr:from>
    <xdr:to>
      <xdr:col>26</xdr:col>
      <xdr:colOff>418553</xdr:colOff>
      <xdr:row>13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F8F9FC-6E44-4803-80B0-1869F4C22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3048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352425</xdr:colOff>
      <xdr:row>1</xdr:row>
      <xdr:rowOff>114300</xdr:rowOff>
    </xdr:from>
    <xdr:to>
      <xdr:col>26</xdr:col>
      <xdr:colOff>428078</xdr:colOff>
      <xdr:row>13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AAD524-E207-4EAE-8A1C-EFEA7FBB7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1850" y="3048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276726</xdr:colOff>
      <xdr:row>2</xdr:row>
      <xdr:rowOff>180974</xdr:rowOff>
    </xdr:from>
    <xdr:to>
      <xdr:col>5</xdr:col>
      <xdr:colOff>885278</xdr:colOff>
      <xdr:row>12</xdr:row>
      <xdr:rowOff>152399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569C96-C0FA-4B9F-B408-72467CDC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976" y="561974"/>
          <a:ext cx="2675477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457200</xdr:colOff>
      <xdr:row>0</xdr:row>
      <xdr:rowOff>0</xdr:rowOff>
    </xdr:from>
    <xdr:to>
      <xdr:col>26</xdr:col>
      <xdr:colOff>532853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297B29-0F32-4311-AEEB-CB418A2A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0075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238125</xdr:colOff>
      <xdr:row>1</xdr:row>
      <xdr:rowOff>85725</xdr:rowOff>
    </xdr:from>
    <xdr:to>
      <xdr:col>24</xdr:col>
      <xdr:colOff>313778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7032BF-134B-4953-8F1F-866B06D3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01850" y="2762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342900</xdr:colOff>
      <xdr:row>0</xdr:row>
      <xdr:rowOff>104775</xdr:rowOff>
    </xdr:from>
    <xdr:to>
      <xdr:col>25</xdr:col>
      <xdr:colOff>418553</xdr:colOff>
      <xdr:row>12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018063-B8FB-4991-817B-DF11C9AC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0" y="1047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4</xdr:row>
      <xdr:rowOff>42862</xdr:rowOff>
    </xdr:from>
    <xdr:to>
      <xdr:col>14</xdr:col>
      <xdr:colOff>257175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EAC52-417E-6471-38B2-761D51EEC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514350</xdr:colOff>
      <xdr:row>0</xdr:row>
      <xdr:rowOff>0</xdr:rowOff>
    </xdr:from>
    <xdr:to>
      <xdr:col>24</xdr:col>
      <xdr:colOff>590003</xdr:colOff>
      <xdr:row>11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0DD34C-6F8F-4549-9887-ED8CC700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57150</xdr:colOff>
      <xdr:row>0</xdr:row>
      <xdr:rowOff>0</xdr:rowOff>
    </xdr:from>
    <xdr:to>
      <xdr:col>25</xdr:col>
      <xdr:colOff>132803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474E72-0ADC-44EF-B9C7-C2390929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142875</xdr:colOff>
      <xdr:row>0</xdr:row>
      <xdr:rowOff>0</xdr:rowOff>
    </xdr:from>
    <xdr:to>
      <xdr:col>25</xdr:col>
      <xdr:colOff>218528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BEA18-671E-4F30-963B-DE7F3BE62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695325</xdr:colOff>
      <xdr:row>16</xdr:row>
      <xdr:rowOff>123825</xdr:rowOff>
    </xdr:from>
    <xdr:to>
      <xdr:col>12</xdr:col>
      <xdr:colOff>504278</xdr:colOff>
      <xdr:row>28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D6CD60-9B98-40F5-AEAC-29D66248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1718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V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8"/>
      <c r="C3" s="148"/>
      <c r="D3" s="148"/>
      <c r="E3" s="148"/>
    </row>
    <row r="4" spans="2:5">
      <c r="B4" s="149" t="s">
        <v>111</v>
      </c>
      <c r="C4" s="149" t="s">
        <v>57</v>
      </c>
      <c r="D4" s="149" t="s">
        <v>10</v>
      </c>
      <c r="E4" s="149" t="s">
        <v>8</v>
      </c>
    </row>
    <row r="5" spans="2:5">
      <c r="B5" s="66" t="s">
        <v>132</v>
      </c>
      <c r="C5" s="150">
        <v>0.05</v>
      </c>
      <c r="D5" s="150">
        <v>0.95</v>
      </c>
      <c r="E5" s="150">
        <f>C5+D5</f>
        <v>1</v>
      </c>
    </row>
    <row r="6" spans="2:5">
      <c r="B6" s="66" t="s">
        <v>130</v>
      </c>
      <c r="C6" s="150">
        <v>0.05</v>
      </c>
      <c r="D6" s="150">
        <v>0.95</v>
      </c>
      <c r="E6" s="150">
        <f t="shared" ref="E6:E12" si="0">C6+D6</f>
        <v>1</v>
      </c>
    </row>
    <row r="7" spans="2:5">
      <c r="B7" s="66" t="s">
        <v>103</v>
      </c>
      <c r="C7" s="150">
        <v>0.05</v>
      </c>
      <c r="D7" s="150">
        <v>0.95</v>
      </c>
      <c r="E7" s="150">
        <f t="shared" si="0"/>
        <v>1</v>
      </c>
    </row>
    <row r="8" spans="2:5">
      <c r="B8" s="66" t="s">
        <v>104</v>
      </c>
      <c r="C8" s="150">
        <v>0.05</v>
      </c>
      <c r="D8" s="150">
        <v>0.95</v>
      </c>
      <c r="E8" s="150">
        <f t="shared" si="0"/>
        <v>1</v>
      </c>
    </row>
    <row r="9" spans="2:5">
      <c r="B9" s="66" t="s">
        <v>105</v>
      </c>
      <c r="C9" s="150">
        <v>0.05</v>
      </c>
      <c r="D9" s="150">
        <v>0.95</v>
      </c>
      <c r="E9" s="150">
        <f t="shared" si="0"/>
        <v>1</v>
      </c>
    </row>
    <row r="10" spans="2:5">
      <c r="B10" s="66" t="s">
        <v>106</v>
      </c>
      <c r="C10" s="150">
        <v>0.05</v>
      </c>
      <c r="D10" s="150">
        <v>0.95</v>
      </c>
      <c r="E10" s="150">
        <f t="shared" si="0"/>
        <v>1</v>
      </c>
    </row>
    <row r="11" spans="2:5">
      <c r="B11" s="66" t="s">
        <v>107</v>
      </c>
      <c r="C11" s="150">
        <v>0.05</v>
      </c>
      <c r="D11" s="150">
        <v>0.95</v>
      </c>
      <c r="E11" s="150">
        <f t="shared" si="0"/>
        <v>1</v>
      </c>
    </row>
    <row r="12" spans="2:5">
      <c r="B12" s="66" t="s">
        <v>108</v>
      </c>
      <c r="C12" s="150">
        <v>0.05</v>
      </c>
      <c r="D12" s="150">
        <v>0.95</v>
      </c>
      <c r="E12" s="150">
        <f t="shared" si="0"/>
        <v>1</v>
      </c>
    </row>
    <row r="13" spans="2:5">
      <c r="B13" s="66" t="s">
        <v>109</v>
      </c>
      <c r="C13" s="150">
        <v>0.05</v>
      </c>
      <c r="D13" s="150">
        <v>0.95</v>
      </c>
      <c r="E13" s="150">
        <f t="shared" ref="E13:E14" si="1">C13+D13</f>
        <v>1</v>
      </c>
    </row>
    <row r="14" spans="2:5">
      <c r="B14" s="66" t="s">
        <v>110</v>
      </c>
      <c r="C14" s="150">
        <v>0.05</v>
      </c>
      <c r="D14" s="150">
        <v>0.95</v>
      </c>
      <c r="E14" s="150">
        <f t="shared" si="1"/>
        <v>1</v>
      </c>
    </row>
    <row r="16" spans="2:5">
      <c r="B16" s="148"/>
      <c r="C16" s="148"/>
      <c r="D16" s="148"/>
      <c r="E16" s="148"/>
    </row>
    <row r="17" spans="2:14">
      <c r="B17" s="149" t="s">
        <v>112</v>
      </c>
      <c r="C17" s="149">
        <v>1</v>
      </c>
      <c r="D17" s="149">
        <v>2</v>
      </c>
      <c r="E17" s="149">
        <v>3</v>
      </c>
    </row>
    <row r="18" spans="2:14">
      <c r="B18" s="70" t="s">
        <v>118</v>
      </c>
      <c r="C18" s="94">
        <v>150000</v>
      </c>
      <c r="D18" s="94">
        <f>C18*1.03</f>
        <v>154500</v>
      </c>
      <c r="E18" s="94">
        <f>D18*1.03</f>
        <v>159135</v>
      </c>
    </row>
    <row r="19" spans="2:14">
      <c r="B19" s="70" t="s">
        <v>50</v>
      </c>
      <c r="C19" s="94">
        <f>'Profit and Loss Statement'!E6*0.0157</f>
        <v>19803.760199999997</v>
      </c>
      <c r="D19" s="94">
        <f>'Profit and Loss Statement'!F6*0.0157</f>
        <v>21784.13622</v>
      </c>
      <c r="E19" s="94">
        <f>'Profit and Loss Statement'!G6*0.0157</f>
        <v>23962.549842000004</v>
      </c>
    </row>
    <row r="20" spans="2:14">
      <c r="B20" s="70" t="s">
        <v>121</v>
      </c>
      <c r="C20" s="94">
        <f>'Profit and Loss Statement'!E6*0.0152</f>
        <v>19173.067200000001</v>
      </c>
      <c r="D20" s="94">
        <f>'Profit and Loss Statement'!F6*0.0152</f>
        <v>21090.373920000002</v>
      </c>
      <c r="E20" s="94">
        <f>'Profit and Loss Statement'!G6*0.0152</f>
        <v>23199.411312000004</v>
      </c>
    </row>
    <row r="21" spans="2:14">
      <c r="B21" s="70" t="s">
        <v>49</v>
      </c>
      <c r="C21" s="94">
        <f>'Personnel - Editable'!H16*0.06</f>
        <v>23400</v>
      </c>
      <c r="D21" s="94">
        <f>'Personnel - Editable'!I16*0.06</f>
        <v>24102</v>
      </c>
      <c r="E21" s="94">
        <f>'Personnel - Editable'!J16*0.06</f>
        <v>24825.059999999998</v>
      </c>
      <c r="F21" s="122"/>
      <c r="G21" s="122"/>
    </row>
    <row r="22" spans="2:14">
      <c r="B22" s="70" t="s">
        <v>119</v>
      </c>
      <c r="C22" s="94">
        <f>'Profit and Loss Statement'!E6*0.012</f>
        <v>15136.632</v>
      </c>
      <c r="D22" s="94">
        <f>'Profit and Loss Statement'!F6*0.012</f>
        <v>16650.2952</v>
      </c>
      <c r="E22" s="94">
        <f>'Profit and Loss Statement'!G6*0.012</f>
        <v>18315.324720000004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51" t="s">
        <v>113</v>
      </c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</row>
    <row r="31" spans="2:14">
      <c r="B31" s="153" t="s">
        <v>5</v>
      </c>
      <c r="C31" s="154">
        <v>1</v>
      </c>
      <c r="D31" s="154">
        <f>C31+1</f>
        <v>2</v>
      </c>
      <c r="E31" s="154">
        <f t="shared" ref="E31:N31" si="2">D31+1</f>
        <v>3</v>
      </c>
      <c r="F31" s="154">
        <f t="shared" si="2"/>
        <v>4</v>
      </c>
      <c r="G31" s="154">
        <f t="shared" si="2"/>
        <v>5</v>
      </c>
      <c r="H31" s="154">
        <f t="shared" si="2"/>
        <v>6</v>
      </c>
      <c r="I31" s="154">
        <f t="shared" si="2"/>
        <v>7</v>
      </c>
      <c r="J31" s="154">
        <f t="shared" si="2"/>
        <v>8</v>
      </c>
      <c r="K31" s="154">
        <f t="shared" si="2"/>
        <v>9</v>
      </c>
      <c r="L31" s="154">
        <f t="shared" si="2"/>
        <v>10</v>
      </c>
      <c r="M31" s="154">
        <f t="shared" si="2"/>
        <v>11</v>
      </c>
      <c r="N31" s="154">
        <f t="shared" si="2"/>
        <v>12</v>
      </c>
    </row>
    <row r="32" spans="2:14">
      <c r="B32" s="66" t="str">
        <f t="shared" ref="B32:B41" si="3">B5</f>
        <v>Assisted Living Fees</v>
      </c>
      <c r="C32" s="94">
        <v>100000</v>
      </c>
      <c r="D32" s="94">
        <f>C32+20</f>
        <v>100020</v>
      </c>
      <c r="E32" s="94">
        <f t="shared" ref="E32:N32" si="4">D32+20</f>
        <v>100040</v>
      </c>
      <c r="F32" s="94">
        <f t="shared" si="4"/>
        <v>100060</v>
      </c>
      <c r="G32" s="94">
        <f t="shared" si="4"/>
        <v>100080</v>
      </c>
      <c r="H32" s="94">
        <f t="shared" si="4"/>
        <v>100100</v>
      </c>
      <c r="I32" s="94">
        <f t="shared" si="4"/>
        <v>100120</v>
      </c>
      <c r="J32" s="94">
        <f t="shared" si="4"/>
        <v>100140</v>
      </c>
      <c r="K32" s="94">
        <f t="shared" si="4"/>
        <v>100160</v>
      </c>
      <c r="L32" s="94">
        <f t="shared" si="4"/>
        <v>100180</v>
      </c>
      <c r="M32" s="94">
        <f t="shared" si="4"/>
        <v>100200</v>
      </c>
      <c r="N32" s="94">
        <f t="shared" si="4"/>
        <v>100220</v>
      </c>
    </row>
    <row r="33" spans="2:22">
      <c r="B33" s="66" t="str">
        <f t="shared" si="3"/>
        <v>Other Income</v>
      </c>
      <c r="C33" s="94">
        <f>C32*0.05</f>
        <v>5000</v>
      </c>
      <c r="D33" s="94">
        <f t="shared" ref="D33:N33" si="5">D32*0.05</f>
        <v>5001</v>
      </c>
      <c r="E33" s="94">
        <f t="shared" si="5"/>
        <v>5002</v>
      </c>
      <c r="F33" s="94">
        <f t="shared" si="5"/>
        <v>5003</v>
      </c>
      <c r="G33" s="94">
        <f t="shared" si="5"/>
        <v>5004</v>
      </c>
      <c r="H33" s="94">
        <f t="shared" si="5"/>
        <v>5005</v>
      </c>
      <c r="I33" s="94">
        <f t="shared" si="5"/>
        <v>5006</v>
      </c>
      <c r="J33" s="94">
        <f t="shared" si="5"/>
        <v>5007</v>
      </c>
      <c r="K33" s="94">
        <f t="shared" si="5"/>
        <v>5008</v>
      </c>
      <c r="L33" s="94">
        <f t="shared" si="5"/>
        <v>5009</v>
      </c>
      <c r="M33" s="94">
        <f t="shared" si="5"/>
        <v>5010</v>
      </c>
      <c r="N33" s="94">
        <f t="shared" si="5"/>
        <v>5011</v>
      </c>
    </row>
    <row r="34" spans="2:22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22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22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22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Q37" s="117"/>
      <c r="R37" s="117"/>
      <c r="S37" s="117"/>
      <c r="T37" s="117"/>
      <c r="U37" s="117"/>
      <c r="V37" s="117"/>
    </row>
    <row r="38" spans="2:22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Q38" s="117"/>
      <c r="R38" s="117"/>
      <c r="S38" s="117"/>
      <c r="T38" s="117"/>
      <c r="U38" s="117"/>
      <c r="V38" s="117"/>
    </row>
    <row r="39" spans="2:22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Q39" s="117"/>
      <c r="R39" s="117"/>
      <c r="S39" s="114"/>
      <c r="T39" s="114"/>
      <c r="U39" s="114"/>
      <c r="V39" s="117"/>
    </row>
    <row r="40" spans="2:22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Q40" s="117"/>
      <c r="R40" s="117"/>
      <c r="S40" s="114"/>
      <c r="T40" s="114"/>
      <c r="U40" s="114"/>
      <c r="V40" s="117"/>
    </row>
    <row r="41" spans="2:22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17"/>
      <c r="R41" s="117"/>
      <c r="S41" s="114"/>
      <c r="T41" s="114" t="s">
        <v>135</v>
      </c>
      <c r="U41" s="114"/>
      <c r="V41" s="117"/>
    </row>
    <row r="42" spans="2:22">
      <c r="B42" s="107" t="s">
        <v>8</v>
      </c>
      <c r="C42" s="108">
        <f>SUM(C32:C41)</f>
        <v>105000</v>
      </c>
      <c r="D42" s="108">
        <f t="shared" ref="D42:N42" si="6">SUM(D32:D41)</f>
        <v>105021</v>
      </c>
      <c r="E42" s="108">
        <f t="shared" si="6"/>
        <v>105042</v>
      </c>
      <c r="F42" s="108">
        <f t="shared" si="6"/>
        <v>105063</v>
      </c>
      <c r="G42" s="108">
        <f t="shared" si="6"/>
        <v>105084</v>
      </c>
      <c r="H42" s="108">
        <f t="shared" si="6"/>
        <v>105105</v>
      </c>
      <c r="I42" s="108">
        <f t="shared" si="6"/>
        <v>105126</v>
      </c>
      <c r="J42" s="108">
        <f t="shared" si="6"/>
        <v>105147</v>
      </c>
      <c r="K42" s="108">
        <f t="shared" si="6"/>
        <v>105168</v>
      </c>
      <c r="L42" s="108">
        <f t="shared" si="6"/>
        <v>105189</v>
      </c>
      <c r="M42" s="108">
        <f t="shared" si="6"/>
        <v>105210</v>
      </c>
      <c r="N42" s="108">
        <f t="shared" si="6"/>
        <v>105231</v>
      </c>
      <c r="Q42" s="117"/>
      <c r="R42" s="117"/>
      <c r="S42" s="114"/>
      <c r="T42" s="114"/>
      <c r="U42" s="114"/>
      <c r="V42" s="117"/>
    </row>
    <row r="43" spans="2:22">
      <c r="Q43" s="147" t="s">
        <v>139</v>
      </c>
      <c r="R43" s="117"/>
      <c r="S43" s="114"/>
      <c r="T43" s="114"/>
      <c r="U43" s="114"/>
      <c r="V43" s="117"/>
    </row>
    <row r="44" spans="2:22">
      <c r="B44" s="148"/>
      <c r="C44" s="148"/>
      <c r="Q44" s="117"/>
      <c r="R44" s="117"/>
      <c r="S44" s="114"/>
      <c r="T44" s="114"/>
      <c r="U44" s="114"/>
      <c r="V44" s="117"/>
    </row>
    <row r="45" spans="2:22">
      <c r="B45" s="149" t="s">
        <v>128</v>
      </c>
      <c r="C45" s="149"/>
      <c r="Q45" s="117"/>
      <c r="R45" s="117"/>
      <c r="S45" s="114"/>
      <c r="T45" s="114"/>
      <c r="U45" s="114"/>
      <c r="V45" s="117"/>
    </row>
    <row r="46" spans="2:22">
      <c r="B46" s="66" t="s">
        <v>3</v>
      </c>
      <c r="C46" s="146">
        <v>0.1</v>
      </c>
      <c r="Q46" s="117"/>
      <c r="R46" s="117"/>
      <c r="S46" s="114"/>
      <c r="T46" s="114"/>
      <c r="U46" s="114"/>
      <c r="V46" s="117"/>
    </row>
    <row r="47" spans="2:22">
      <c r="B47" s="66" t="s">
        <v>4</v>
      </c>
      <c r="C47" s="146">
        <v>0.1</v>
      </c>
      <c r="Q47" s="117"/>
      <c r="R47" s="117"/>
      <c r="S47" s="117"/>
      <c r="T47" s="117"/>
      <c r="U47" s="117"/>
      <c r="V47" s="117"/>
    </row>
    <row r="48" spans="2:22">
      <c r="Q48" s="117"/>
      <c r="R48" s="117"/>
      <c r="S48" s="117"/>
      <c r="T48" s="117"/>
      <c r="U48" s="117"/>
      <c r="V48" s="117"/>
    </row>
    <row r="49" spans="2:22">
      <c r="B49" s="114" t="s">
        <v>57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Q49" s="117"/>
      <c r="R49" s="117"/>
      <c r="S49" s="117"/>
      <c r="T49" s="117"/>
      <c r="U49" s="117"/>
      <c r="V49" s="117"/>
    </row>
    <row r="50" spans="2:22">
      <c r="B50" s="114" t="s">
        <v>5</v>
      </c>
      <c r="C50" s="114">
        <v>1</v>
      </c>
      <c r="D50" s="114">
        <f>C50+1</f>
        <v>2</v>
      </c>
      <c r="E50" s="114">
        <f t="shared" ref="E50:N50" si="7">D50+1</f>
        <v>3</v>
      </c>
      <c r="F50" s="114">
        <f t="shared" si="7"/>
        <v>4</v>
      </c>
      <c r="G50" s="114">
        <f t="shared" si="7"/>
        <v>5</v>
      </c>
      <c r="H50" s="114">
        <f t="shared" si="7"/>
        <v>6</v>
      </c>
      <c r="I50" s="114">
        <f t="shared" si="7"/>
        <v>7</v>
      </c>
      <c r="J50" s="114">
        <f t="shared" si="7"/>
        <v>8</v>
      </c>
      <c r="K50" s="114">
        <f t="shared" si="7"/>
        <v>9</v>
      </c>
      <c r="L50" s="114">
        <f t="shared" si="7"/>
        <v>10</v>
      </c>
      <c r="M50" s="114">
        <f t="shared" si="7"/>
        <v>11</v>
      </c>
      <c r="N50" s="114">
        <f t="shared" si="7"/>
        <v>12</v>
      </c>
      <c r="Q50" s="117"/>
      <c r="R50" s="117"/>
      <c r="S50" s="117"/>
      <c r="T50" s="117"/>
      <c r="U50" s="117"/>
      <c r="V50" s="117"/>
    </row>
    <row r="51" spans="2:22">
      <c r="B51" s="114" t="str">
        <f t="shared" ref="B51:B60" si="8">B32</f>
        <v>Assisted Living Fees</v>
      </c>
      <c r="C51" s="116">
        <f t="shared" ref="C51:N51" si="9">C32*($C$5/$E$5)</f>
        <v>5000</v>
      </c>
      <c r="D51" s="116">
        <f t="shared" si="9"/>
        <v>5001</v>
      </c>
      <c r="E51" s="116">
        <f t="shared" si="9"/>
        <v>5002</v>
      </c>
      <c r="F51" s="116">
        <f t="shared" si="9"/>
        <v>5003</v>
      </c>
      <c r="G51" s="116">
        <f t="shared" si="9"/>
        <v>5004</v>
      </c>
      <c r="H51" s="116">
        <f t="shared" si="9"/>
        <v>5005</v>
      </c>
      <c r="I51" s="116">
        <f t="shared" si="9"/>
        <v>5006</v>
      </c>
      <c r="J51" s="116">
        <f t="shared" si="9"/>
        <v>5007</v>
      </c>
      <c r="K51" s="116">
        <f t="shared" si="9"/>
        <v>5008</v>
      </c>
      <c r="L51" s="116">
        <f t="shared" si="9"/>
        <v>5009</v>
      </c>
      <c r="M51" s="116">
        <f t="shared" si="9"/>
        <v>5010</v>
      </c>
      <c r="N51" s="116">
        <f t="shared" si="9"/>
        <v>5011</v>
      </c>
      <c r="Q51" s="117"/>
      <c r="R51" s="117"/>
      <c r="S51" s="117"/>
      <c r="T51" s="117"/>
      <c r="U51" s="117"/>
      <c r="V51" s="117"/>
    </row>
    <row r="52" spans="2:22">
      <c r="B52" s="114" t="str">
        <f t="shared" si="8"/>
        <v>Other Income</v>
      </c>
      <c r="C52" s="116">
        <f t="shared" ref="C52:N52" si="10">C33*($C$6/$E$6)</f>
        <v>250</v>
      </c>
      <c r="D52" s="116">
        <f t="shared" si="10"/>
        <v>250.05</v>
      </c>
      <c r="E52" s="116">
        <f t="shared" si="10"/>
        <v>250.10000000000002</v>
      </c>
      <c r="F52" s="116">
        <f t="shared" si="10"/>
        <v>250.15</v>
      </c>
      <c r="G52" s="116">
        <f t="shared" si="10"/>
        <v>250.20000000000002</v>
      </c>
      <c r="H52" s="116">
        <f t="shared" si="10"/>
        <v>250.25</v>
      </c>
      <c r="I52" s="116">
        <f t="shared" si="10"/>
        <v>250.3</v>
      </c>
      <c r="J52" s="116">
        <f t="shared" si="10"/>
        <v>250.35000000000002</v>
      </c>
      <c r="K52" s="116">
        <f t="shared" si="10"/>
        <v>250.4</v>
      </c>
      <c r="L52" s="116">
        <f t="shared" si="10"/>
        <v>250.45000000000002</v>
      </c>
      <c r="M52" s="116">
        <f t="shared" si="10"/>
        <v>250.5</v>
      </c>
      <c r="N52" s="116">
        <f t="shared" si="10"/>
        <v>250.55</v>
      </c>
      <c r="Q52" s="117"/>
      <c r="R52" s="117"/>
      <c r="S52" s="117"/>
      <c r="T52" s="117"/>
      <c r="U52" s="117"/>
      <c r="V52" s="117"/>
    </row>
    <row r="53" spans="2:22">
      <c r="B53" s="114" t="str">
        <f t="shared" si="8"/>
        <v>Item 3</v>
      </c>
      <c r="C53" s="116">
        <f t="shared" ref="C53:N53" si="11">C34*($C$7/$E$7)</f>
        <v>0</v>
      </c>
      <c r="D53" s="116">
        <f t="shared" si="11"/>
        <v>0</v>
      </c>
      <c r="E53" s="116">
        <f t="shared" si="11"/>
        <v>0</v>
      </c>
      <c r="F53" s="116">
        <f t="shared" si="11"/>
        <v>0</v>
      </c>
      <c r="G53" s="116">
        <f t="shared" si="11"/>
        <v>0</v>
      </c>
      <c r="H53" s="116">
        <f t="shared" si="11"/>
        <v>0</v>
      </c>
      <c r="I53" s="116">
        <f t="shared" si="11"/>
        <v>0</v>
      </c>
      <c r="J53" s="116">
        <f t="shared" si="11"/>
        <v>0</v>
      </c>
      <c r="K53" s="116">
        <f t="shared" si="11"/>
        <v>0</v>
      </c>
      <c r="L53" s="116">
        <f t="shared" si="11"/>
        <v>0</v>
      </c>
      <c r="M53" s="116">
        <f t="shared" si="11"/>
        <v>0</v>
      </c>
      <c r="N53" s="116">
        <f t="shared" si="11"/>
        <v>0</v>
      </c>
      <c r="Q53" s="117"/>
      <c r="R53" s="117"/>
      <c r="S53" s="117"/>
      <c r="T53" s="117"/>
      <c r="U53" s="117"/>
      <c r="V53" s="117"/>
    </row>
    <row r="54" spans="2:22">
      <c r="B54" s="114" t="str">
        <f t="shared" si="8"/>
        <v>Item 4</v>
      </c>
      <c r="C54" s="116">
        <f t="shared" ref="C54:N54" si="12">C35*($C$8/$E$8)</f>
        <v>0</v>
      </c>
      <c r="D54" s="116">
        <f t="shared" si="12"/>
        <v>0</v>
      </c>
      <c r="E54" s="116">
        <f t="shared" si="12"/>
        <v>0</v>
      </c>
      <c r="F54" s="116">
        <f t="shared" si="12"/>
        <v>0</v>
      </c>
      <c r="G54" s="116">
        <f t="shared" si="12"/>
        <v>0</v>
      </c>
      <c r="H54" s="116">
        <f t="shared" si="12"/>
        <v>0</v>
      </c>
      <c r="I54" s="116">
        <f t="shared" si="12"/>
        <v>0</v>
      </c>
      <c r="J54" s="116">
        <f t="shared" si="12"/>
        <v>0</v>
      </c>
      <c r="K54" s="116">
        <f t="shared" si="12"/>
        <v>0</v>
      </c>
      <c r="L54" s="116">
        <f t="shared" si="12"/>
        <v>0</v>
      </c>
      <c r="M54" s="116">
        <f t="shared" si="12"/>
        <v>0</v>
      </c>
      <c r="N54" s="116">
        <f t="shared" si="12"/>
        <v>0</v>
      </c>
      <c r="Q54" s="117"/>
      <c r="R54" s="117"/>
      <c r="S54" s="117"/>
      <c r="T54" s="117"/>
      <c r="U54" s="117"/>
      <c r="V54" s="117"/>
    </row>
    <row r="55" spans="2:22">
      <c r="B55" s="114" t="str">
        <f t="shared" si="8"/>
        <v>Item 5</v>
      </c>
      <c r="C55" s="116">
        <f t="shared" ref="C55:N55" si="13">C36*($C$9/$E$9)</f>
        <v>0</v>
      </c>
      <c r="D55" s="116">
        <f t="shared" si="13"/>
        <v>0</v>
      </c>
      <c r="E55" s="116">
        <f t="shared" si="13"/>
        <v>0</v>
      </c>
      <c r="F55" s="116">
        <f t="shared" si="13"/>
        <v>0</v>
      </c>
      <c r="G55" s="116">
        <f t="shared" si="13"/>
        <v>0</v>
      </c>
      <c r="H55" s="116">
        <f t="shared" si="13"/>
        <v>0</v>
      </c>
      <c r="I55" s="116">
        <f t="shared" si="13"/>
        <v>0</v>
      </c>
      <c r="J55" s="116">
        <f t="shared" si="13"/>
        <v>0</v>
      </c>
      <c r="K55" s="116">
        <f t="shared" si="13"/>
        <v>0</v>
      </c>
      <c r="L55" s="116">
        <f t="shared" si="13"/>
        <v>0</v>
      </c>
      <c r="M55" s="116">
        <f t="shared" si="13"/>
        <v>0</v>
      </c>
      <c r="N55" s="116">
        <f t="shared" si="13"/>
        <v>0</v>
      </c>
      <c r="Q55" s="117"/>
      <c r="R55" s="117"/>
      <c r="S55" s="117"/>
      <c r="T55" s="117"/>
      <c r="U55" s="117"/>
      <c r="V55" s="117"/>
    </row>
    <row r="56" spans="2:22">
      <c r="B56" s="114" t="str">
        <f t="shared" si="8"/>
        <v>Item 6</v>
      </c>
      <c r="C56" s="116">
        <f t="shared" ref="C56:N56" si="14">C37*($C$10/$E$10)</f>
        <v>0</v>
      </c>
      <c r="D56" s="116">
        <f t="shared" si="14"/>
        <v>0</v>
      </c>
      <c r="E56" s="116">
        <f t="shared" si="14"/>
        <v>0</v>
      </c>
      <c r="F56" s="116">
        <f t="shared" si="14"/>
        <v>0</v>
      </c>
      <c r="G56" s="116">
        <f t="shared" si="14"/>
        <v>0</v>
      </c>
      <c r="H56" s="116">
        <f t="shared" si="14"/>
        <v>0</v>
      </c>
      <c r="I56" s="116">
        <f t="shared" si="14"/>
        <v>0</v>
      </c>
      <c r="J56" s="116">
        <f t="shared" si="14"/>
        <v>0</v>
      </c>
      <c r="K56" s="116">
        <f t="shared" si="14"/>
        <v>0</v>
      </c>
      <c r="L56" s="116">
        <f t="shared" si="14"/>
        <v>0</v>
      </c>
      <c r="M56" s="116">
        <f t="shared" si="14"/>
        <v>0</v>
      </c>
      <c r="N56" s="116">
        <f t="shared" si="14"/>
        <v>0</v>
      </c>
    </row>
    <row r="57" spans="2:22">
      <c r="B57" s="114" t="str">
        <f t="shared" si="8"/>
        <v>Item 7</v>
      </c>
      <c r="C57" s="116">
        <f t="shared" ref="C57:N57" si="15">C38*($C$11/$E$11)</f>
        <v>0</v>
      </c>
      <c r="D57" s="116">
        <f t="shared" si="15"/>
        <v>0</v>
      </c>
      <c r="E57" s="116">
        <f t="shared" si="15"/>
        <v>0</v>
      </c>
      <c r="F57" s="116">
        <f t="shared" si="15"/>
        <v>0</v>
      </c>
      <c r="G57" s="116">
        <f t="shared" si="15"/>
        <v>0</v>
      </c>
      <c r="H57" s="116">
        <f t="shared" si="15"/>
        <v>0</v>
      </c>
      <c r="I57" s="116">
        <f t="shared" si="15"/>
        <v>0</v>
      </c>
      <c r="J57" s="116">
        <f t="shared" si="15"/>
        <v>0</v>
      </c>
      <c r="K57" s="116">
        <f t="shared" si="15"/>
        <v>0</v>
      </c>
      <c r="L57" s="116">
        <f t="shared" si="15"/>
        <v>0</v>
      </c>
      <c r="M57" s="116">
        <f t="shared" si="15"/>
        <v>0</v>
      </c>
      <c r="N57" s="116">
        <f t="shared" si="15"/>
        <v>0</v>
      </c>
    </row>
    <row r="58" spans="2:22">
      <c r="B58" s="114" t="str">
        <f t="shared" si="8"/>
        <v>Item 8</v>
      </c>
      <c r="C58" s="116">
        <f t="shared" ref="C58:N58" si="16">C39*($C$12/$E$12)</f>
        <v>0</v>
      </c>
      <c r="D58" s="116">
        <f t="shared" si="16"/>
        <v>0</v>
      </c>
      <c r="E58" s="116">
        <f t="shared" si="16"/>
        <v>0</v>
      </c>
      <c r="F58" s="116">
        <f t="shared" si="16"/>
        <v>0</v>
      </c>
      <c r="G58" s="116">
        <f t="shared" si="16"/>
        <v>0</v>
      </c>
      <c r="H58" s="116">
        <f t="shared" si="16"/>
        <v>0</v>
      </c>
      <c r="I58" s="116">
        <f t="shared" si="16"/>
        <v>0</v>
      </c>
      <c r="J58" s="116">
        <f t="shared" si="16"/>
        <v>0</v>
      </c>
      <c r="K58" s="116">
        <f t="shared" si="16"/>
        <v>0</v>
      </c>
      <c r="L58" s="116">
        <f t="shared" si="16"/>
        <v>0</v>
      </c>
      <c r="M58" s="116">
        <f t="shared" si="16"/>
        <v>0</v>
      </c>
      <c r="N58" s="116">
        <f t="shared" si="16"/>
        <v>0</v>
      </c>
    </row>
    <row r="59" spans="2:22">
      <c r="B59" s="114" t="str">
        <f t="shared" si="8"/>
        <v>Item 9</v>
      </c>
      <c r="C59" s="116">
        <f t="shared" ref="C59:N59" si="17">C40*($C$13/$E$13)</f>
        <v>0</v>
      </c>
      <c r="D59" s="116">
        <f t="shared" si="17"/>
        <v>0</v>
      </c>
      <c r="E59" s="116">
        <f t="shared" si="17"/>
        <v>0</v>
      </c>
      <c r="F59" s="116">
        <f t="shared" si="17"/>
        <v>0</v>
      </c>
      <c r="G59" s="116">
        <f t="shared" si="17"/>
        <v>0</v>
      </c>
      <c r="H59" s="116">
        <f t="shared" si="17"/>
        <v>0</v>
      </c>
      <c r="I59" s="116">
        <f t="shared" si="17"/>
        <v>0</v>
      </c>
      <c r="J59" s="116">
        <f t="shared" si="17"/>
        <v>0</v>
      </c>
      <c r="K59" s="116">
        <f t="shared" si="17"/>
        <v>0</v>
      </c>
      <c r="L59" s="116">
        <f t="shared" si="17"/>
        <v>0</v>
      </c>
      <c r="M59" s="116">
        <f t="shared" si="17"/>
        <v>0</v>
      </c>
      <c r="N59" s="116">
        <f t="shared" si="17"/>
        <v>0</v>
      </c>
    </row>
    <row r="60" spans="2:22">
      <c r="B60" s="114" t="str">
        <f t="shared" si="8"/>
        <v>Item 10</v>
      </c>
      <c r="C60" s="116">
        <f t="shared" ref="C60:N60" si="18">C41*($C$14/$E$14)</f>
        <v>0</v>
      </c>
      <c r="D60" s="116">
        <f t="shared" si="18"/>
        <v>0</v>
      </c>
      <c r="E60" s="116">
        <f t="shared" si="18"/>
        <v>0</v>
      </c>
      <c r="F60" s="116">
        <f t="shared" si="18"/>
        <v>0</v>
      </c>
      <c r="G60" s="116">
        <f t="shared" si="18"/>
        <v>0</v>
      </c>
      <c r="H60" s="116">
        <f t="shared" si="18"/>
        <v>0</v>
      </c>
      <c r="I60" s="116">
        <f t="shared" si="18"/>
        <v>0</v>
      </c>
      <c r="J60" s="116">
        <f t="shared" si="18"/>
        <v>0</v>
      </c>
      <c r="K60" s="116">
        <f t="shared" si="18"/>
        <v>0</v>
      </c>
      <c r="L60" s="116">
        <f t="shared" si="18"/>
        <v>0</v>
      </c>
      <c r="M60" s="116">
        <f t="shared" si="18"/>
        <v>0</v>
      </c>
      <c r="N60" s="116">
        <f t="shared" si="18"/>
        <v>0</v>
      </c>
    </row>
    <row r="61" spans="2:22">
      <c r="B61" s="114" t="s">
        <v>8</v>
      </c>
      <c r="C61" s="116">
        <f>SUM(C51:C60)</f>
        <v>5250</v>
      </c>
      <c r="D61" s="116">
        <f t="shared" ref="D61:N61" si="19">SUM(D51:D60)</f>
        <v>5251.05</v>
      </c>
      <c r="E61" s="116">
        <f t="shared" si="19"/>
        <v>5252.1</v>
      </c>
      <c r="F61" s="116">
        <f t="shared" si="19"/>
        <v>5253.15</v>
      </c>
      <c r="G61" s="116">
        <f t="shared" si="19"/>
        <v>5254.2</v>
      </c>
      <c r="H61" s="116">
        <f t="shared" si="19"/>
        <v>5255.25</v>
      </c>
      <c r="I61" s="116">
        <f t="shared" si="19"/>
        <v>5256.3</v>
      </c>
      <c r="J61" s="116">
        <f t="shared" si="19"/>
        <v>5257.35</v>
      </c>
      <c r="K61" s="116">
        <f t="shared" si="19"/>
        <v>5258.4</v>
      </c>
      <c r="L61" s="116">
        <f t="shared" si="19"/>
        <v>5259.45</v>
      </c>
      <c r="M61" s="116">
        <f t="shared" si="19"/>
        <v>5260.5</v>
      </c>
      <c r="N61" s="116">
        <f t="shared" si="19"/>
        <v>5261.55</v>
      </c>
    </row>
    <row r="62" spans="2:22"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</row>
    <row r="63" spans="2:22"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</row>
    <row r="64" spans="2:22">
      <c r="B64" s="114" t="s">
        <v>10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</row>
    <row r="65" spans="2:14">
      <c r="B65" s="114" t="s">
        <v>5</v>
      </c>
      <c r="C65" s="114">
        <v>1</v>
      </c>
      <c r="D65" s="114">
        <f>C65+1</f>
        <v>2</v>
      </c>
      <c r="E65" s="114">
        <f t="shared" ref="E65:N65" si="20">D65+1</f>
        <v>3</v>
      </c>
      <c r="F65" s="114">
        <f t="shared" si="20"/>
        <v>4</v>
      </c>
      <c r="G65" s="114">
        <f t="shared" si="20"/>
        <v>5</v>
      </c>
      <c r="H65" s="114">
        <f t="shared" si="20"/>
        <v>6</v>
      </c>
      <c r="I65" s="114">
        <f t="shared" si="20"/>
        <v>7</v>
      </c>
      <c r="J65" s="114">
        <f t="shared" si="20"/>
        <v>8</v>
      </c>
      <c r="K65" s="114">
        <f t="shared" si="20"/>
        <v>9</v>
      </c>
      <c r="L65" s="114">
        <f t="shared" si="20"/>
        <v>10</v>
      </c>
      <c r="M65" s="114">
        <f t="shared" si="20"/>
        <v>11</v>
      </c>
      <c r="N65" s="114">
        <f t="shared" si="20"/>
        <v>12</v>
      </c>
    </row>
    <row r="66" spans="2:14">
      <c r="B66" s="114" t="s">
        <v>8</v>
      </c>
      <c r="C66" s="116">
        <f t="shared" ref="C66:N66" si="21">C42-C61</f>
        <v>99750</v>
      </c>
      <c r="D66" s="116">
        <f t="shared" si="21"/>
        <v>99769.95</v>
      </c>
      <c r="E66" s="116">
        <f t="shared" si="21"/>
        <v>99789.9</v>
      </c>
      <c r="F66" s="116">
        <f t="shared" si="21"/>
        <v>99809.85</v>
      </c>
      <c r="G66" s="116">
        <f t="shared" si="21"/>
        <v>99829.8</v>
      </c>
      <c r="H66" s="116">
        <f t="shared" si="21"/>
        <v>99849.75</v>
      </c>
      <c r="I66" s="116">
        <f t="shared" si="21"/>
        <v>99869.7</v>
      </c>
      <c r="J66" s="116">
        <f t="shared" si="21"/>
        <v>99889.65</v>
      </c>
      <c r="K66" s="116">
        <f t="shared" si="21"/>
        <v>99909.6</v>
      </c>
      <c r="L66" s="116">
        <f t="shared" si="21"/>
        <v>99929.55</v>
      </c>
      <c r="M66" s="116">
        <f t="shared" si="21"/>
        <v>99949.5</v>
      </c>
      <c r="N66" s="116">
        <f t="shared" si="21"/>
        <v>99969.45</v>
      </c>
    </row>
  </sheetData>
  <sheetProtection algorithmName="SHA-512" hashValue="lPIMOARqJ0q6Zmp1IRcCAS+VbpscgYWckqGD/6yUqcLBgRF+jZoYYwmP0TyhswLdfaeUQJxLEOOehm/K/D8ggA==" saltValue="x+4tzoC24MhwoMQb7GeYIA==" spinCount="100000" sheet="1" objects="1" scenarios="1" selectLockedCells="1"/>
  <hyperlinks>
    <hyperlink ref="Q43" r:id="rId1" xr:uid="{3ACCB100-9EEB-4A1C-ABDD-1DC64B8B3173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P8" sqref="P8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2000000</v>
      </c>
      <c r="C5" s="55"/>
      <c r="D5" s="56" t="s">
        <v>36</v>
      </c>
      <c r="E5" s="59">
        <f>PMT(B6/B8,(B7*B8),-B5)</f>
        <v>13306.049903583664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2790177.9652901152</v>
      </c>
    </row>
    <row r="7" spans="1:5">
      <c r="A7" s="60" t="s">
        <v>40</v>
      </c>
      <c r="B7" s="60">
        <v>30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13306.049903583664</v>
      </c>
      <c r="C14" s="1">
        <f>B14-D14</f>
        <v>1639.3832369169959</v>
      </c>
      <c r="D14" s="1">
        <f>(B5*($B$6/$B$8))</f>
        <v>11666.666666666668</v>
      </c>
      <c r="E14" s="1">
        <f>B5-C14</f>
        <v>1998360.616763083</v>
      </c>
    </row>
    <row r="15" spans="1:5">
      <c r="A15">
        <f>IF(($B$7*$B$8&gt;A14),IF(($B$7*$B$8)=A14,"",A14+1),"")</f>
        <v>2</v>
      </c>
      <c r="B15" s="1">
        <f>IF(A15="","",$B$14)</f>
        <v>13306.049903583664</v>
      </c>
      <c r="C15" s="1">
        <f>IF(A15="","",B15-D15)</f>
        <v>1648.9463057990124</v>
      </c>
      <c r="D15" s="1">
        <f>IF(A15="","",(E14*($B$6/$B$8)))</f>
        <v>11657.103597784651</v>
      </c>
      <c r="E15" s="1">
        <f>IF(A15="","",E14-C15)</f>
        <v>1996711.670457284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13306.049903583664</v>
      </c>
      <c r="C16" s="1">
        <f t="shared" ref="C16:C79" si="2">IF(A16="","",B16-D16)</f>
        <v>1658.5651592495069</v>
      </c>
      <c r="D16" s="1">
        <f t="shared" ref="D16:D79" si="3">IF(A16="","",(E15*($B$6/$B$8)))</f>
        <v>11647.484744334157</v>
      </c>
      <c r="E16" s="1">
        <f t="shared" ref="E16:E79" si="4">IF(A16="","",E15-C16)</f>
        <v>1995053.1052980344</v>
      </c>
    </row>
    <row r="17" spans="1:5">
      <c r="A17">
        <f t="shared" si="0"/>
        <v>4</v>
      </c>
      <c r="B17" s="1">
        <f t="shared" si="1"/>
        <v>13306.049903583664</v>
      </c>
      <c r="C17" s="1">
        <f t="shared" si="2"/>
        <v>1668.2401226784623</v>
      </c>
      <c r="D17" s="1">
        <f t="shared" si="3"/>
        <v>11637.809780905201</v>
      </c>
      <c r="E17" s="1">
        <f t="shared" si="4"/>
        <v>1993384.8651753559</v>
      </c>
    </row>
    <row r="18" spans="1:5">
      <c r="A18">
        <f t="shared" si="0"/>
        <v>5</v>
      </c>
      <c r="B18" s="1">
        <f t="shared" si="1"/>
        <v>13306.049903583664</v>
      </c>
      <c r="C18" s="1">
        <f t="shared" si="2"/>
        <v>1677.9715233940879</v>
      </c>
      <c r="D18" s="1">
        <f t="shared" si="3"/>
        <v>11628.078380189576</v>
      </c>
      <c r="E18" s="1">
        <f t="shared" si="4"/>
        <v>1991706.8936519618</v>
      </c>
    </row>
    <row r="19" spans="1:5">
      <c r="A19">
        <f t="shared" si="0"/>
        <v>6</v>
      </c>
      <c r="B19" s="1">
        <f t="shared" si="1"/>
        <v>13306.049903583664</v>
      </c>
      <c r="C19" s="1">
        <f t="shared" si="2"/>
        <v>1687.7596906138861</v>
      </c>
      <c r="D19" s="1">
        <f t="shared" si="3"/>
        <v>11618.290212969778</v>
      </c>
      <c r="E19" s="1">
        <f t="shared" si="4"/>
        <v>1990019.1339613479</v>
      </c>
    </row>
    <row r="20" spans="1:5">
      <c r="A20">
        <f t="shared" si="0"/>
        <v>7</v>
      </c>
      <c r="B20" s="1">
        <f t="shared" si="1"/>
        <v>13306.049903583664</v>
      </c>
      <c r="C20" s="1">
        <f t="shared" si="2"/>
        <v>1697.604955475801</v>
      </c>
      <c r="D20" s="1">
        <f t="shared" si="3"/>
        <v>11608.444948107863</v>
      </c>
      <c r="E20" s="1">
        <f t="shared" si="4"/>
        <v>1988321.5290058721</v>
      </c>
    </row>
    <row r="21" spans="1:5">
      <c r="A21">
        <f t="shared" si="0"/>
        <v>8</v>
      </c>
      <c r="B21" s="1">
        <f t="shared" si="1"/>
        <v>13306.049903583664</v>
      </c>
      <c r="C21" s="1">
        <f t="shared" si="2"/>
        <v>1707.5076510494091</v>
      </c>
      <c r="D21" s="1">
        <f t="shared" si="3"/>
        <v>11598.542252534255</v>
      </c>
      <c r="E21" s="1">
        <f t="shared" si="4"/>
        <v>1986614.0213548227</v>
      </c>
    </row>
    <row r="22" spans="1:5">
      <c r="A22">
        <f t="shared" si="0"/>
        <v>9</v>
      </c>
      <c r="B22" s="1">
        <f t="shared" si="1"/>
        <v>13306.049903583664</v>
      </c>
      <c r="C22" s="1">
        <f t="shared" si="2"/>
        <v>1717.4681123471983</v>
      </c>
      <c r="D22" s="1">
        <f t="shared" si="3"/>
        <v>11588.581791236466</v>
      </c>
      <c r="E22" s="1">
        <f t="shared" si="4"/>
        <v>1984896.5532424755</v>
      </c>
    </row>
    <row r="23" spans="1:5">
      <c r="A23">
        <f t="shared" si="0"/>
        <v>10</v>
      </c>
      <c r="B23" s="1">
        <f t="shared" si="1"/>
        <v>13306.049903583664</v>
      </c>
      <c r="C23" s="1">
        <f t="shared" si="2"/>
        <v>1727.4866763358896</v>
      </c>
      <c r="D23" s="1">
        <f t="shared" si="3"/>
        <v>11578.563227247774</v>
      </c>
      <c r="E23" s="1">
        <f t="shared" si="4"/>
        <v>1983169.0665661397</v>
      </c>
    </row>
    <row r="24" spans="1:5">
      <c r="A24">
        <f t="shared" si="0"/>
        <v>11</v>
      </c>
      <c r="B24" s="1">
        <f t="shared" si="1"/>
        <v>13306.049903583664</v>
      </c>
      <c r="C24" s="1">
        <f t="shared" si="2"/>
        <v>1737.5636819478477</v>
      </c>
      <c r="D24" s="1">
        <f t="shared" si="3"/>
        <v>11568.486221635816</v>
      </c>
      <c r="E24" s="1">
        <f t="shared" si="4"/>
        <v>1981431.5028841919</v>
      </c>
    </row>
    <row r="25" spans="1:5">
      <c r="A25">
        <f t="shared" si="0"/>
        <v>12</v>
      </c>
      <c r="B25" s="1">
        <f t="shared" si="1"/>
        <v>13306.049903583664</v>
      </c>
      <c r="C25" s="1">
        <f t="shared" si="2"/>
        <v>1747.6994700925443</v>
      </c>
      <c r="D25" s="1">
        <f t="shared" si="3"/>
        <v>11558.350433491119</v>
      </c>
      <c r="E25" s="1">
        <f t="shared" si="4"/>
        <v>1979683.8034140994</v>
      </c>
    </row>
    <row r="26" spans="1:5">
      <c r="A26">
        <f t="shared" si="0"/>
        <v>13</v>
      </c>
      <c r="B26" s="1">
        <f t="shared" si="1"/>
        <v>13306.049903583664</v>
      </c>
      <c r="C26" s="1">
        <f t="shared" si="2"/>
        <v>1757.8943836680828</v>
      </c>
      <c r="D26" s="1">
        <f t="shared" si="3"/>
        <v>11548.155519915581</v>
      </c>
      <c r="E26" s="1">
        <f t="shared" si="4"/>
        <v>1977925.9090304314</v>
      </c>
    </row>
    <row r="27" spans="1:5">
      <c r="A27">
        <f t="shared" si="0"/>
        <v>14</v>
      </c>
      <c r="B27" s="1">
        <f t="shared" si="1"/>
        <v>13306.049903583664</v>
      </c>
      <c r="C27" s="1">
        <f t="shared" si="2"/>
        <v>1768.1487675728131</v>
      </c>
      <c r="D27" s="1">
        <f t="shared" si="3"/>
        <v>11537.901136010851</v>
      </c>
      <c r="E27" s="1">
        <f t="shared" si="4"/>
        <v>1976157.7602628586</v>
      </c>
    </row>
    <row r="28" spans="1:5">
      <c r="A28">
        <f t="shared" si="0"/>
        <v>15</v>
      </c>
      <c r="B28" s="1">
        <f t="shared" si="1"/>
        <v>13306.049903583664</v>
      </c>
      <c r="C28" s="1">
        <f t="shared" si="2"/>
        <v>1778.4629687169872</v>
      </c>
      <c r="D28" s="1">
        <f t="shared" si="3"/>
        <v>11527.586934866677</v>
      </c>
      <c r="E28" s="1">
        <f t="shared" si="4"/>
        <v>1974379.2972941415</v>
      </c>
    </row>
    <row r="29" spans="1:5">
      <c r="A29">
        <f t="shared" si="0"/>
        <v>16</v>
      </c>
      <c r="B29" s="1">
        <f t="shared" si="1"/>
        <v>13306.049903583664</v>
      </c>
      <c r="C29" s="1">
        <f t="shared" si="2"/>
        <v>1788.8373360345049</v>
      </c>
      <c r="D29" s="1">
        <f t="shared" si="3"/>
        <v>11517.212567549159</v>
      </c>
      <c r="E29" s="1">
        <f t="shared" si="4"/>
        <v>1972590.459958107</v>
      </c>
    </row>
    <row r="30" spans="1:5">
      <c r="A30">
        <f t="shared" si="0"/>
        <v>17</v>
      </c>
      <c r="B30" s="1">
        <f t="shared" si="1"/>
        <v>13306.049903583664</v>
      </c>
      <c r="C30" s="1">
        <f t="shared" si="2"/>
        <v>1799.2722204947058</v>
      </c>
      <c r="D30" s="1">
        <f t="shared" si="3"/>
        <v>11506.777683088958</v>
      </c>
      <c r="E30" s="1">
        <f t="shared" si="4"/>
        <v>1970791.1877376123</v>
      </c>
    </row>
    <row r="31" spans="1:5">
      <c r="A31">
        <f t="shared" si="0"/>
        <v>18</v>
      </c>
      <c r="B31" s="1">
        <f t="shared" si="1"/>
        <v>13306.049903583664</v>
      </c>
      <c r="C31" s="1">
        <f t="shared" si="2"/>
        <v>1809.7679751142587</v>
      </c>
      <c r="D31" s="1">
        <f t="shared" si="3"/>
        <v>11496.281928469405</v>
      </c>
      <c r="E31" s="1">
        <f t="shared" si="4"/>
        <v>1968981.419762498</v>
      </c>
    </row>
    <row r="32" spans="1:5">
      <c r="A32">
        <f t="shared" si="0"/>
        <v>19</v>
      </c>
      <c r="B32" s="1">
        <f t="shared" si="1"/>
        <v>13306.049903583664</v>
      </c>
      <c r="C32" s="1">
        <f t="shared" si="2"/>
        <v>1820.3249549690918</v>
      </c>
      <c r="D32" s="1">
        <f t="shared" si="3"/>
        <v>11485.724948614572</v>
      </c>
      <c r="E32" s="1">
        <f t="shared" si="4"/>
        <v>1967161.0948075289</v>
      </c>
    </row>
    <row r="33" spans="1:5">
      <c r="A33">
        <f t="shared" si="0"/>
        <v>20</v>
      </c>
      <c r="B33" s="1">
        <f t="shared" si="1"/>
        <v>13306.049903583664</v>
      </c>
      <c r="C33" s="1">
        <f t="shared" si="2"/>
        <v>1830.9435172064113</v>
      </c>
      <c r="D33" s="1">
        <f t="shared" si="3"/>
        <v>11475.106386377252</v>
      </c>
      <c r="E33" s="1">
        <f t="shared" si="4"/>
        <v>1965330.1512903224</v>
      </c>
    </row>
    <row r="34" spans="1:5">
      <c r="A34">
        <f t="shared" si="0"/>
        <v>21</v>
      </c>
      <c r="B34" s="1">
        <f t="shared" si="1"/>
        <v>13306.049903583664</v>
      </c>
      <c r="C34" s="1">
        <f t="shared" si="2"/>
        <v>1841.624021056783</v>
      </c>
      <c r="D34" s="1">
        <f t="shared" si="3"/>
        <v>11464.425882526881</v>
      </c>
      <c r="E34" s="1">
        <f t="shared" si="4"/>
        <v>1963488.5272692656</v>
      </c>
    </row>
    <row r="35" spans="1:5">
      <c r="A35">
        <f t="shared" si="0"/>
        <v>22</v>
      </c>
      <c r="B35" s="1">
        <f t="shared" si="1"/>
        <v>13306.049903583664</v>
      </c>
      <c r="C35" s="1">
        <f t="shared" si="2"/>
        <v>1852.366827846281</v>
      </c>
      <c r="D35" s="1">
        <f t="shared" si="3"/>
        <v>11453.683075737383</v>
      </c>
      <c r="E35" s="1">
        <f t="shared" si="4"/>
        <v>1961636.1604414193</v>
      </c>
    </row>
    <row r="36" spans="1:5">
      <c r="A36">
        <f t="shared" si="0"/>
        <v>23</v>
      </c>
      <c r="B36" s="1">
        <f t="shared" si="1"/>
        <v>13306.049903583664</v>
      </c>
      <c r="C36" s="1">
        <f t="shared" si="2"/>
        <v>1863.1723010087171</v>
      </c>
      <c r="D36" s="1">
        <f t="shared" si="3"/>
        <v>11442.877602574947</v>
      </c>
      <c r="E36" s="1">
        <f t="shared" si="4"/>
        <v>1959772.9881404105</v>
      </c>
    </row>
    <row r="37" spans="1:5">
      <c r="A37">
        <f t="shared" si="0"/>
        <v>24</v>
      </c>
      <c r="B37" s="1">
        <f t="shared" si="1"/>
        <v>13306.049903583664</v>
      </c>
      <c r="C37" s="1">
        <f t="shared" si="2"/>
        <v>1874.0408060979353</v>
      </c>
      <c r="D37" s="1">
        <f t="shared" si="3"/>
        <v>11432.009097485728</v>
      </c>
      <c r="E37" s="1">
        <f t="shared" si="4"/>
        <v>1957898.9473343126</v>
      </c>
    </row>
    <row r="38" spans="1:5">
      <c r="A38">
        <f t="shared" si="0"/>
        <v>25</v>
      </c>
      <c r="B38" s="1">
        <f t="shared" si="1"/>
        <v>13306.049903583664</v>
      </c>
      <c r="C38" s="1">
        <f t="shared" si="2"/>
        <v>1884.9727108001734</v>
      </c>
      <c r="D38" s="1">
        <f t="shared" si="3"/>
        <v>11421.07719278349</v>
      </c>
      <c r="E38" s="1">
        <f t="shared" si="4"/>
        <v>1956013.9746235125</v>
      </c>
    </row>
    <row r="39" spans="1:5">
      <c r="A39">
        <f t="shared" si="0"/>
        <v>26</v>
      </c>
      <c r="B39" s="1">
        <f t="shared" si="1"/>
        <v>13306.049903583664</v>
      </c>
      <c r="C39" s="1">
        <f t="shared" si="2"/>
        <v>1895.9683849465073</v>
      </c>
      <c r="D39" s="1">
        <f t="shared" si="3"/>
        <v>11410.081518637156</v>
      </c>
      <c r="E39" s="1">
        <f t="shared" si="4"/>
        <v>1954118.006238566</v>
      </c>
    </row>
    <row r="40" spans="1:5">
      <c r="A40">
        <f t="shared" si="0"/>
        <v>27</v>
      </c>
      <c r="B40" s="1">
        <f t="shared" si="1"/>
        <v>13306.049903583664</v>
      </c>
      <c r="C40" s="1">
        <f t="shared" si="2"/>
        <v>1907.0282005253612</v>
      </c>
      <c r="D40" s="1">
        <f t="shared" si="3"/>
        <v>11399.021703058303</v>
      </c>
      <c r="E40" s="1">
        <f t="shared" si="4"/>
        <v>1952210.9780380407</v>
      </c>
    </row>
    <row r="41" spans="1:5">
      <c r="A41">
        <f t="shared" si="0"/>
        <v>28</v>
      </c>
      <c r="B41" s="1">
        <f t="shared" si="1"/>
        <v>13306.049903583664</v>
      </c>
      <c r="C41" s="1">
        <f t="shared" si="2"/>
        <v>1918.152531695092</v>
      </c>
      <c r="D41" s="1">
        <f t="shared" si="3"/>
        <v>11387.897371888572</v>
      </c>
      <c r="E41" s="1">
        <f t="shared" si="4"/>
        <v>1950292.8255063456</v>
      </c>
    </row>
    <row r="42" spans="1:5">
      <c r="A42">
        <f t="shared" si="0"/>
        <v>29</v>
      </c>
      <c r="B42" s="1">
        <f t="shared" si="1"/>
        <v>13306.049903583664</v>
      </c>
      <c r="C42" s="1">
        <f t="shared" si="2"/>
        <v>1929.3417547966474</v>
      </c>
      <c r="D42" s="1">
        <f t="shared" si="3"/>
        <v>11376.708148787016</v>
      </c>
      <c r="E42" s="1">
        <f t="shared" si="4"/>
        <v>1948363.4837515489</v>
      </c>
    </row>
    <row r="43" spans="1:5">
      <c r="A43">
        <f t="shared" si="0"/>
        <v>30</v>
      </c>
      <c r="B43" s="1">
        <f t="shared" si="1"/>
        <v>13306.049903583664</v>
      </c>
      <c r="C43" s="1">
        <f t="shared" si="2"/>
        <v>1940.5962483662952</v>
      </c>
      <c r="D43" s="1">
        <f t="shared" si="3"/>
        <v>11365.453655217369</v>
      </c>
      <c r="E43" s="1">
        <f t="shared" si="4"/>
        <v>1946422.8875031825</v>
      </c>
    </row>
    <row r="44" spans="1:5">
      <c r="A44">
        <f t="shared" si="0"/>
        <v>31</v>
      </c>
      <c r="B44" s="1">
        <f t="shared" si="1"/>
        <v>13306.049903583664</v>
      </c>
      <c r="C44" s="1">
        <f t="shared" si="2"/>
        <v>1951.9163931484327</v>
      </c>
      <c r="D44" s="1">
        <f t="shared" si="3"/>
        <v>11354.133510435231</v>
      </c>
      <c r="E44" s="1">
        <f t="shared" si="4"/>
        <v>1944470.971110034</v>
      </c>
    </row>
    <row r="45" spans="1:5">
      <c r="A45">
        <f t="shared" si="0"/>
        <v>32</v>
      </c>
      <c r="B45" s="1">
        <f t="shared" si="1"/>
        <v>13306.049903583664</v>
      </c>
      <c r="C45" s="1">
        <f t="shared" si="2"/>
        <v>1963.302572108465</v>
      </c>
      <c r="D45" s="1">
        <f t="shared" si="3"/>
        <v>11342.747331475199</v>
      </c>
      <c r="E45" s="1">
        <f t="shared" si="4"/>
        <v>1942507.6685379255</v>
      </c>
    </row>
    <row r="46" spans="1:5">
      <c r="A46">
        <f t="shared" si="0"/>
        <v>33</v>
      </c>
      <c r="B46" s="1">
        <f t="shared" si="1"/>
        <v>13306.049903583664</v>
      </c>
      <c r="C46" s="1">
        <f t="shared" si="2"/>
        <v>1974.7551704457655</v>
      </c>
      <c r="D46" s="1">
        <f t="shared" si="3"/>
        <v>11331.294733137898</v>
      </c>
      <c r="E46" s="1">
        <f t="shared" si="4"/>
        <v>1940532.9133674798</v>
      </c>
    </row>
    <row r="47" spans="1:5">
      <c r="A47">
        <f t="shared" si="0"/>
        <v>34</v>
      </c>
      <c r="B47" s="1">
        <f t="shared" si="1"/>
        <v>13306.049903583664</v>
      </c>
      <c r="C47" s="1">
        <f t="shared" si="2"/>
        <v>1986.2745756066979</v>
      </c>
      <c r="D47" s="1">
        <f t="shared" si="3"/>
        <v>11319.775327976966</v>
      </c>
      <c r="E47" s="1">
        <f t="shared" si="4"/>
        <v>1938546.6387918731</v>
      </c>
    </row>
    <row r="48" spans="1:5">
      <c r="A48">
        <f t="shared" si="0"/>
        <v>35</v>
      </c>
      <c r="B48" s="1">
        <f t="shared" si="1"/>
        <v>13306.049903583664</v>
      </c>
      <c r="C48" s="1">
        <f t="shared" si="2"/>
        <v>1997.8611772977365</v>
      </c>
      <c r="D48" s="1">
        <f t="shared" si="3"/>
        <v>11308.188726285927</v>
      </c>
      <c r="E48" s="1">
        <f t="shared" si="4"/>
        <v>1936548.7776145753</v>
      </c>
    </row>
    <row r="49" spans="1:5">
      <c r="A49">
        <f t="shared" si="0"/>
        <v>36</v>
      </c>
      <c r="B49" s="1">
        <f t="shared" si="1"/>
        <v>13306.049903583664</v>
      </c>
      <c r="C49" s="1">
        <f t="shared" si="2"/>
        <v>2009.5153674986395</v>
      </c>
      <c r="D49" s="1">
        <f t="shared" si="3"/>
        <v>11296.534536085024</v>
      </c>
      <c r="E49" s="1">
        <f t="shared" si="4"/>
        <v>1934539.2622470767</v>
      </c>
    </row>
    <row r="50" spans="1:5">
      <c r="A50">
        <f t="shared" si="0"/>
        <v>37</v>
      </c>
      <c r="B50" s="1">
        <f t="shared" si="1"/>
        <v>13306.049903583664</v>
      </c>
      <c r="C50" s="1">
        <f t="shared" si="2"/>
        <v>2021.2375404757149</v>
      </c>
      <c r="D50" s="1">
        <f t="shared" si="3"/>
        <v>11284.812363107949</v>
      </c>
      <c r="E50" s="1">
        <f t="shared" si="4"/>
        <v>1932518.0247066009</v>
      </c>
    </row>
    <row r="51" spans="1:5">
      <c r="A51">
        <f t="shared" si="0"/>
        <v>38</v>
      </c>
      <c r="B51" s="1">
        <f t="shared" si="1"/>
        <v>13306.049903583664</v>
      </c>
      <c r="C51" s="1">
        <f t="shared" si="2"/>
        <v>2033.0280927951571</v>
      </c>
      <c r="D51" s="1">
        <f t="shared" si="3"/>
        <v>11273.021810788507</v>
      </c>
      <c r="E51" s="1">
        <f t="shared" si="4"/>
        <v>1930484.9966138059</v>
      </c>
    </row>
    <row r="52" spans="1:5">
      <c r="A52">
        <f t="shared" si="0"/>
        <v>39</v>
      </c>
      <c r="B52" s="1">
        <f t="shared" si="1"/>
        <v>13306.049903583664</v>
      </c>
      <c r="C52" s="1">
        <f t="shared" si="2"/>
        <v>2044.8874233364622</v>
      </c>
      <c r="D52" s="1">
        <f t="shared" si="3"/>
        <v>11261.162480247202</v>
      </c>
      <c r="E52" s="1">
        <f t="shared" si="4"/>
        <v>1928440.1091904694</v>
      </c>
    </row>
    <row r="53" spans="1:5">
      <c r="A53">
        <f t="shared" si="0"/>
        <v>40</v>
      </c>
      <c r="B53" s="1">
        <f t="shared" si="1"/>
        <v>13306.049903583664</v>
      </c>
      <c r="C53" s="1">
        <f t="shared" si="2"/>
        <v>2056.8159333059248</v>
      </c>
      <c r="D53" s="1">
        <f t="shared" si="3"/>
        <v>11249.233970277739</v>
      </c>
      <c r="E53" s="1">
        <f t="shared" si="4"/>
        <v>1926383.2932571634</v>
      </c>
    </row>
    <row r="54" spans="1:5">
      <c r="A54">
        <f t="shared" si="0"/>
        <v>41</v>
      </c>
      <c r="B54" s="1">
        <f t="shared" si="1"/>
        <v>13306.049903583664</v>
      </c>
      <c r="C54" s="1">
        <f t="shared" si="2"/>
        <v>2068.8140262502111</v>
      </c>
      <c r="D54" s="1">
        <f t="shared" si="3"/>
        <v>11237.235877333453</v>
      </c>
      <c r="E54" s="1">
        <f t="shared" si="4"/>
        <v>1924314.4792309131</v>
      </c>
    </row>
    <row r="55" spans="1:5">
      <c r="A55">
        <f t="shared" si="0"/>
        <v>42</v>
      </c>
      <c r="B55" s="1">
        <f t="shared" si="1"/>
        <v>13306.049903583664</v>
      </c>
      <c r="C55" s="1">
        <f t="shared" si="2"/>
        <v>2080.8821080700036</v>
      </c>
      <c r="D55" s="1">
        <f t="shared" si="3"/>
        <v>11225.16779551366</v>
      </c>
      <c r="E55" s="1">
        <f t="shared" si="4"/>
        <v>1922233.5971228431</v>
      </c>
    </row>
    <row r="56" spans="1:5">
      <c r="A56">
        <f t="shared" si="0"/>
        <v>43</v>
      </c>
      <c r="B56" s="1">
        <f t="shared" si="1"/>
        <v>13306.049903583664</v>
      </c>
      <c r="C56" s="1">
        <f t="shared" si="2"/>
        <v>2093.020587033745</v>
      </c>
      <c r="D56" s="1">
        <f t="shared" si="3"/>
        <v>11213.029316549919</v>
      </c>
      <c r="E56" s="1">
        <f t="shared" si="4"/>
        <v>1920140.5765358093</v>
      </c>
    </row>
    <row r="57" spans="1:5">
      <c r="A57">
        <f t="shared" si="0"/>
        <v>44</v>
      </c>
      <c r="B57" s="1">
        <f t="shared" si="1"/>
        <v>13306.049903583664</v>
      </c>
      <c r="C57" s="1">
        <f t="shared" si="2"/>
        <v>2105.2298737914425</v>
      </c>
      <c r="D57" s="1">
        <f t="shared" si="3"/>
        <v>11200.820029792221</v>
      </c>
      <c r="E57" s="1">
        <f t="shared" si="4"/>
        <v>1918035.346662018</v>
      </c>
    </row>
    <row r="58" spans="1:5">
      <c r="A58">
        <f t="shared" si="0"/>
        <v>45</v>
      </c>
      <c r="B58" s="1">
        <f t="shared" si="1"/>
        <v>13306.049903583664</v>
      </c>
      <c r="C58" s="1">
        <f t="shared" si="2"/>
        <v>2117.510381388558</v>
      </c>
      <c r="D58" s="1">
        <f t="shared" si="3"/>
        <v>11188.539522195106</v>
      </c>
      <c r="E58" s="1">
        <f t="shared" si="4"/>
        <v>1915917.8362806295</v>
      </c>
    </row>
    <row r="59" spans="1:5">
      <c r="A59">
        <f t="shared" si="0"/>
        <v>46</v>
      </c>
      <c r="B59" s="1">
        <f t="shared" si="1"/>
        <v>13306.049903583664</v>
      </c>
      <c r="C59" s="1">
        <f t="shared" si="2"/>
        <v>2129.862525279992</v>
      </c>
      <c r="D59" s="1">
        <f t="shared" si="3"/>
        <v>11176.187378303672</v>
      </c>
      <c r="E59" s="1">
        <f t="shared" si="4"/>
        <v>1913787.9737553494</v>
      </c>
    </row>
    <row r="60" spans="1:5">
      <c r="A60">
        <f t="shared" si="0"/>
        <v>47</v>
      </c>
      <c r="B60" s="1">
        <f t="shared" si="1"/>
        <v>13306.049903583664</v>
      </c>
      <c r="C60" s="1">
        <f t="shared" si="2"/>
        <v>2142.2867233441248</v>
      </c>
      <c r="D60" s="1">
        <f t="shared" si="3"/>
        <v>11163.763180239539</v>
      </c>
      <c r="E60" s="1">
        <f t="shared" si="4"/>
        <v>1911645.6870320053</v>
      </c>
    </row>
    <row r="61" spans="1:5">
      <c r="A61">
        <f t="shared" si="0"/>
        <v>48</v>
      </c>
      <c r="B61" s="1">
        <f t="shared" si="1"/>
        <v>13306.049903583664</v>
      </c>
      <c r="C61" s="1">
        <f t="shared" si="2"/>
        <v>2154.7833958969659</v>
      </c>
      <c r="D61" s="1">
        <f t="shared" si="3"/>
        <v>11151.266507686698</v>
      </c>
      <c r="E61" s="1">
        <f t="shared" si="4"/>
        <v>1909490.9036361084</v>
      </c>
    </row>
    <row r="62" spans="1:5">
      <c r="A62">
        <f t="shared" si="0"/>
        <v>49</v>
      </c>
      <c r="B62" s="1">
        <f t="shared" si="1"/>
        <v>13306.049903583664</v>
      </c>
      <c r="C62" s="1">
        <f t="shared" si="2"/>
        <v>2167.3529657063646</v>
      </c>
      <c r="D62" s="1">
        <f t="shared" si="3"/>
        <v>11138.696937877299</v>
      </c>
      <c r="E62" s="1">
        <f t="shared" si="4"/>
        <v>1907323.5506704021</v>
      </c>
    </row>
    <row r="63" spans="1:5">
      <c r="A63">
        <f t="shared" si="0"/>
        <v>50</v>
      </c>
      <c r="B63" s="1">
        <f t="shared" si="1"/>
        <v>13306.049903583664</v>
      </c>
      <c r="C63" s="1">
        <f t="shared" si="2"/>
        <v>2179.9958580063176</v>
      </c>
      <c r="D63" s="1">
        <f t="shared" si="3"/>
        <v>11126.054045577346</v>
      </c>
      <c r="E63" s="1">
        <f t="shared" si="4"/>
        <v>1905143.5548123957</v>
      </c>
    </row>
    <row r="64" spans="1:5">
      <c r="A64">
        <f t="shared" si="0"/>
        <v>51</v>
      </c>
      <c r="B64" s="1">
        <f t="shared" si="1"/>
        <v>13306.049903583664</v>
      </c>
      <c r="C64" s="1">
        <f t="shared" si="2"/>
        <v>2192.7125005113558</v>
      </c>
      <c r="D64" s="1">
        <f t="shared" si="3"/>
        <v>11113.337403072308</v>
      </c>
      <c r="E64" s="1">
        <f t="shared" si="4"/>
        <v>1902950.8423118843</v>
      </c>
    </row>
    <row r="65" spans="1:5">
      <c r="A65">
        <f t="shared" si="0"/>
        <v>52</v>
      </c>
      <c r="B65" s="1">
        <f t="shared" si="1"/>
        <v>13306.049903583664</v>
      </c>
      <c r="C65" s="1">
        <f t="shared" si="2"/>
        <v>2205.5033234310049</v>
      </c>
      <c r="D65" s="1">
        <f t="shared" si="3"/>
        <v>11100.546580152659</v>
      </c>
      <c r="E65" s="1">
        <f t="shared" si="4"/>
        <v>1900745.3389884534</v>
      </c>
    </row>
    <row r="66" spans="1:5">
      <c r="A66">
        <f t="shared" si="0"/>
        <v>53</v>
      </c>
      <c r="B66" s="1">
        <f t="shared" si="1"/>
        <v>13306.049903583664</v>
      </c>
      <c r="C66" s="1">
        <f t="shared" si="2"/>
        <v>2218.3687594843523</v>
      </c>
      <c r="D66" s="1">
        <f t="shared" si="3"/>
        <v>11087.681144099311</v>
      </c>
      <c r="E66" s="1">
        <f t="shared" si="4"/>
        <v>1898526.9702289691</v>
      </c>
    </row>
    <row r="67" spans="1:5">
      <c r="A67">
        <f t="shared" si="0"/>
        <v>54</v>
      </c>
      <c r="B67" s="1">
        <f t="shared" si="1"/>
        <v>13306.049903583664</v>
      </c>
      <c r="C67" s="1">
        <f t="shared" si="2"/>
        <v>2231.3092439146767</v>
      </c>
      <c r="D67" s="1">
        <f t="shared" si="3"/>
        <v>11074.740659668987</v>
      </c>
      <c r="E67" s="1">
        <f t="shared" si="4"/>
        <v>1896295.6609850544</v>
      </c>
    </row>
    <row r="68" spans="1:5">
      <c r="A68">
        <f t="shared" si="0"/>
        <v>55</v>
      </c>
      <c r="B68" s="1">
        <f t="shared" si="1"/>
        <v>13306.049903583664</v>
      </c>
      <c r="C68" s="1">
        <f t="shared" si="2"/>
        <v>2244.3252145041788</v>
      </c>
      <c r="D68" s="1">
        <f t="shared" si="3"/>
        <v>11061.724689079485</v>
      </c>
      <c r="E68" s="1">
        <f t="shared" si="4"/>
        <v>1894051.3357705502</v>
      </c>
    </row>
    <row r="69" spans="1:5">
      <c r="A69">
        <f t="shared" si="0"/>
        <v>56</v>
      </c>
      <c r="B69" s="1">
        <f t="shared" si="1"/>
        <v>13306.049903583664</v>
      </c>
      <c r="C69" s="1">
        <f t="shared" si="2"/>
        <v>2257.4171115887875</v>
      </c>
      <c r="D69" s="1">
        <f t="shared" si="3"/>
        <v>11048.632791994876</v>
      </c>
      <c r="E69" s="1">
        <f t="shared" si="4"/>
        <v>1891793.9186589613</v>
      </c>
    </row>
    <row r="70" spans="1:5">
      <c r="A70">
        <f t="shared" si="0"/>
        <v>57</v>
      </c>
      <c r="B70" s="1">
        <f t="shared" si="1"/>
        <v>13306.049903583664</v>
      </c>
      <c r="C70" s="1">
        <f t="shared" si="2"/>
        <v>2270.5853780730558</v>
      </c>
      <c r="D70" s="1">
        <f t="shared" si="3"/>
        <v>11035.464525510608</v>
      </c>
      <c r="E70" s="1">
        <f t="shared" si="4"/>
        <v>1889523.3332808882</v>
      </c>
    </row>
    <row r="71" spans="1:5">
      <c r="A71">
        <f t="shared" si="0"/>
        <v>58</v>
      </c>
      <c r="B71" s="1">
        <f t="shared" si="1"/>
        <v>13306.049903583664</v>
      </c>
      <c r="C71" s="1">
        <f t="shared" si="2"/>
        <v>2283.8304594451492</v>
      </c>
      <c r="D71" s="1">
        <f t="shared" si="3"/>
        <v>11022.219444138515</v>
      </c>
      <c r="E71" s="1">
        <f t="shared" si="4"/>
        <v>1887239.5028214429</v>
      </c>
    </row>
    <row r="72" spans="1:5">
      <c r="A72">
        <f t="shared" si="0"/>
        <v>59</v>
      </c>
      <c r="B72" s="1">
        <f t="shared" si="1"/>
        <v>13306.049903583664</v>
      </c>
      <c r="C72" s="1">
        <f t="shared" si="2"/>
        <v>2297.1528037919124</v>
      </c>
      <c r="D72" s="1">
        <f t="shared" si="3"/>
        <v>11008.897099791751</v>
      </c>
      <c r="E72" s="1">
        <f t="shared" si="4"/>
        <v>1884942.350017651</v>
      </c>
    </row>
    <row r="73" spans="1:5">
      <c r="A73">
        <f t="shared" si="0"/>
        <v>60</v>
      </c>
      <c r="B73" s="1">
        <f t="shared" si="1"/>
        <v>13306.049903583664</v>
      </c>
      <c r="C73" s="1">
        <f t="shared" si="2"/>
        <v>2310.5528618140324</v>
      </c>
      <c r="D73" s="1">
        <f t="shared" si="3"/>
        <v>10995.497041769631</v>
      </c>
      <c r="E73" s="1">
        <f t="shared" si="4"/>
        <v>1882631.7971558371</v>
      </c>
    </row>
    <row r="74" spans="1:5">
      <c r="A74">
        <f t="shared" si="0"/>
        <v>61</v>
      </c>
      <c r="B74" s="1">
        <f t="shared" si="1"/>
        <v>13306.049903583664</v>
      </c>
      <c r="C74" s="1">
        <f t="shared" si="2"/>
        <v>2324.0310868412798</v>
      </c>
      <c r="D74" s="1">
        <f t="shared" si="3"/>
        <v>10982.018816742384</v>
      </c>
      <c r="E74" s="1">
        <f t="shared" si="4"/>
        <v>1880307.7660689957</v>
      </c>
    </row>
    <row r="75" spans="1:5">
      <c r="A75">
        <f t="shared" si="0"/>
        <v>62</v>
      </c>
      <c r="B75" s="1">
        <f t="shared" si="1"/>
        <v>13306.049903583664</v>
      </c>
      <c r="C75" s="1">
        <f t="shared" si="2"/>
        <v>2337.5879348478556</v>
      </c>
      <c r="D75" s="1">
        <f t="shared" si="3"/>
        <v>10968.461968735808</v>
      </c>
      <c r="E75" s="1">
        <f t="shared" si="4"/>
        <v>1877970.1781341478</v>
      </c>
    </row>
    <row r="76" spans="1:5">
      <c r="A76">
        <f t="shared" si="0"/>
        <v>63</v>
      </c>
      <c r="B76" s="1">
        <f t="shared" si="1"/>
        <v>13306.049903583664</v>
      </c>
      <c r="C76" s="1">
        <f t="shared" si="2"/>
        <v>2351.2238644678018</v>
      </c>
      <c r="D76" s="1">
        <f t="shared" si="3"/>
        <v>10954.826039115862</v>
      </c>
      <c r="E76" s="1">
        <f t="shared" si="4"/>
        <v>1875618.95426968</v>
      </c>
    </row>
    <row r="77" spans="1:5">
      <c r="A77">
        <f t="shared" si="0"/>
        <v>64</v>
      </c>
      <c r="B77" s="1">
        <f t="shared" si="1"/>
        <v>13306.049903583664</v>
      </c>
      <c r="C77" s="1">
        <f t="shared" si="2"/>
        <v>2364.9393370105299</v>
      </c>
      <c r="D77" s="1">
        <f t="shared" si="3"/>
        <v>10941.110566573134</v>
      </c>
      <c r="E77" s="1">
        <f t="shared" si="4"/>
        <v>1873254.0149326695</v>
      </c>
    </row>
    <row r="78" spans="1:5">
      <c r="A78">
        <f t="shared" si="0"/>
        <v>65</v>
      </c>
      <c r="B78" s="1">
        <f t="shared" si="1"/>
        <v>13306.049903583664</v>
      </c>
      <c r="C78" s="1">
        <f t="shared" si="2"/>
        <v>2378.7348164764244</v>
      </c>
      <c r="D78" s="1">
        <f t="shared" si="3"/>
        <v>10927.315087107239</v>
      </c>
      <c r="E78" s="1">
        <f t="shared" si="4"/>
        <v>1870875.280116193</v>
      </c>
    </row>
    <row r="79" spans="1:5">
      <c r="A79">
        <f t="shared" si="0"/>
        <v>66</v>
      </c>
      <c r="B79" s="1">
        <f t="shared" si="1"/>
        <v>13306.049903583664</v>
      </c>
      <c r="C79" s="1">
        <f t="shared" si="2"/>
        <v>2392.6107695725368</v>
      </c>
      <c r="D79" s="1">
        <f t="shared" si="3"/>
        <v>10913.439134011127</v>
      </c>
      <c r="E79" s="1">
        <f t="shared" si="4"/>
        <v>1868482.6693466206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13306.049903583664</v>
      </c>
      <c r="C80" s="1">
        <f t="shared" ref="C80:C143" si="7">IF(A80="","",B80-D80)</f>
        <v>2406.5676657283766</v>
      </c>
      <c r="D80" s="1">
        <f t="shared" ref="D80:D143" si="8">IF(A80="","",(E79*($B$6/$B$8)))</f>
        <v>10899.482237855287</v>
      </c>
      <c r="E80" s="1">
        <f t="shared" ref="E80:E143" si="9">IF(A80="","",E79-C80)</f>
        <v>1866076.1016808923</v>
      </c>
    </row>
    <row r="81" spans="1:5">
      <c r="A81">
        <f t="shared" si="5"/>
        <v>68</v>
      </c>
      <c r="B81" s="1">
        <f t="shared" si="6"/>
        <v>13306.049903583664</v>
      </c>
      <c r="C81" s="1">
        <f t="shared" si="7"/>
        <v>2420.6059771117907</v>
      </c>
      <c r="D81" s="1">
        <f t="shared" si="8"/>
        <v>10885.443926471873</v>
      </c>
      <c r="E81" s="1">
        <f t="shared" si="9"/>
        <v>1863655.4957037806</v>
      </c>
    </row>
    <row r="82" spans="1:5">
      <c r="A82">
        <f t="shared" si="5"/>
        <v>69</v>
      </c>
      <c r="B82" s="1">
        <f t="shared" si="6"/>
        <v>13306.049903583664</v>
      </c>
      <c r="C82" s="1">
        <f t="shared" si="7"/>
        <v>2434.7261786449435</v>
      </c>
      <c r="D82" s="1">
        <f t="shared" si="8"/>
        <v>10871.32372493872</v>
      </c>
      <c r="E82" s="1">
        <f t="shared" si="9"/>
        <v>1861220.7695251356</v>
      </c>
    </row>
    <row r="83" spans="1:5">
      <c r="A83">
        <f t="shared" si="5"/>
        <v>70</v>
      </c>
      <c r="B83" s="1">
        <f t="shared" si="6"/>
        <v>13306.049903583664</v>
      </c>
      <c r="C83" s="1">
        <f t="shared" si="7"/>
        <v>2448.928748020373</v>
      </c>
      <c r="D83" s="1">
        <f t="shared" si="8"/>
        <v>10857.121155563291</v>
      </c>
      <c r="E83" s="1">
        <f t="shared" si="9"/>
        <v>1858771.8407771152</v>
      </c>
    </row>
    <row r="84" spans="1:5">
      <c r="A84">
        <f t="shared" si="5"/>
        <v>71</v>
      </c>
      <c r="B84" s="1">
        <f t="shared" si="6"/>
        <v>13306.049903583664</v>
      </c>
      <c r="C84" s="1">
        <f t="shared" si="7"/>
        <v>2463.2141657171578</v>
      </c>
      <c r="D84" s="1">
        <f t="shared" si="8"/>
        <v>10842.835737866506</v>
      </c>
      <c r="E84" s="1">
        <f t="shared" si="9"/>
        <v>1856308.6266113981</v>
      </c>
    </row>
    <row r="85" spans="1:5">
      <c r="A85">
        <f t="shared" si="5"/>
        <v>72</v>
      </c>
      <c r="B85" s="1">
        <f t="shared" si="6"/>
        <v>13306.049903583664</v>
      </c>
      <c r="C85" s="1">
        <f t="shared" si="7"/>
        <v>2477.5829150171739</v>
      </c>
      <c r="D85" s="1">
        <f t="shared" si="8"/>
        <v>10828.46698856649</v>
      </c>
      <c r="E85" s="1">
        <f t="shared" si="9"/>
        <v>1853831.0436963809</v>
      </c>
    </row>
    <row r="86" spans="1:5">
      <c r="A86">
        <f t="shared" si="5"/>
        <v>73</v>
      </c>
      <c r="B86" s="1">
        <f t="shared" si="6"/>
        <v>13306.049903583664</v>
      </c>
      <c r="C86" s="1">
        <f t="shared" si="7"/>
        <v>2492.0354820214416</v>
      </c>
      <c r="D86" s="1">
        <f t="shared" si="8"/>
        <v>10814.014421562222</v>
      </c>
      <c r="E86" s="1">
        <f t="shared" si="9"/>
        <v>1851339.0082143594</v>
      </c>
    </row>
    <row r="87" spans="1:5">
      <c r="A87">
        <f t="shared" si="5"/>
        <v>74</v>
      </c>
      <c r="B87" s="1">
        <f t="shared" si="6"/>
        <v>13306.049903583664</v>
      </c>
      <c r="C87" s="1">
        <f t="shared" si="7"/>
        <v>2506.5723556665671</v>
      </c>
      <c r="D87" s="1">
        <f t="shared" si="8"/>
        <v>10799.477547917097</v>
      </c>
      <c r="E87" s="1">
        <f t="shared" si="9"/>
        <v>1848832.4358586927</v>
      </c>
    </row>
    <row r="88" spans="1:5">
      <c r="A88">
        <f t="shared" si="5"/>
        <v>75</v>
      </c>
      <c r="B88" s="1">
        <f t="shared" si="6"/>
        <v>13306.049903583664</v>
      </c>
      <c r="C88" s="1">
        <f t="shared" si="7"/>
        <v>2521.1940277412887</v>
      </c>
      <c r="D88" s="1">
        <f t="shared" si="8"/>
        <v>10784.855875842375</v>
      </c>
      <c r="E88" s="1">
        <f t="shared" si="9"/>
        <v>1846311.2418309515</v>
      </c>
    </row>
    <row r="89" spans="1:5">
      <c r="A89">
        <f t="shared" si="5"/>
        <v>76</v>
      </c>
      <c r="B89" s="1">
        <f t="shared" si="6"/>
        <v>13306.049903583664</v>
      </c>
      <c r="C89" s="1">
        <f t="shared" si="7"/>
        <v>2535.9009929031126</v>
      </c>
      <c r="D89" s="1">
        <f t="shared" si="8"/>
        <v>10770.148910680551</v>
      </c>
      <c r="E89" s="1">
        <f t="shared" si="9"/>
        <v>1843775.3408380484</v>
      </c>
    </row>
    <row r="90" spans="1:5">
      <c r="A90">
        <f t="shared" si="5"/>
        <v>77</v>
      </c>
      <c r="B90" s="1">
        <f t="shared" si="6"/>
        <v>13306.049903583664</v>
      </c>
      <c r="C90" s="1">
        <f t="shared" si="7"/>
        <v>2550.6937486950483</v>
      </c>
      <c r="D90" s="1">
        <f t="shared" si="8"/>
        <v>10755.356154888615</v>
      </c>
      <c r="E90" s="1">
        <f t="shared" si="9"/>
        <v>1841224.6470893533</v>
      </c>
    </row>
    <row r="91" spans="1:5">
      <c r="A91">
        <f t="shared" si="5"/>
        <v>78</v>
      </c>
      <c r="B91" s="1">
        <f t="shared" si="6"/>
        <v>13306.049903583664</v>
      </c>
      <c r="C91" s="1">
        <f t="shared" si="7"/>
        <v>2565.5727955624352</v>
      </c>
      <c r="D91" s="1">
        <f t="shared" si="8"/>
        <v>10740.477108021229</v>
      </c>
      <c r="E91" s="1">
        <f t="shared" si="9"/>
        <v>1838659.0742937909</v>
      </c>
    </row>
    <row r="92" spans="1:5">
      <c r="A92">
        <f t="shared" si="5"/>
        <v>79</v>
      </c>
      <c r="B92" s="1">
        <f t="shared" si="6"/>
        <v>13306.049903583664</v>
      </c>
      <c r="C92" s="1">
        <f t="shared" si="7"/>
        <v>2580.5386368698837</v>
      </c>
      <c r="D92" s="1">
        <f t="shared" si="8"/>
        <v>10725.51126671378</v>
      </c>
      <c r="E92" s="1">
        <f t="shared" si="9"/>
        <v>1836078.5356569209</v>
      </c>
    </row>
    <row r="93" spans="1:5">
      <c r="A93">
        <f t="shared" si="5"/>
        <v>80</v>
      </c>
      <c r="B93" s="1">
        <f t="shared" si="6"/>
        <v>13306.049903583664</v>
      </c>
      <c r="C93" s="1">
        <f t="shared" si="7"/>
        <v>2595.5917789182913</v>
      </c>
      <c r="D93" s="1">
        <f t="shared" si="8"/>
        <v>10710.458124665372</v>
      </c>
      <c r="E93" s="1">
        <f t="shared" si="9"/>
        <v>1833482.9438780025</v>
      </c>
    </row>
    <row r="94" spans="1:5">
      <c r="A94">
        <f t="shared" si="5"/>
        <v>81</v>
      </c>
      <c r="B94" s="1">
        <f t="shared" si="6"/>
        <v>13306.049903583664</v>
      </c>
      <c r="C94" s="1">
        <f t="shared" si="7"/>
        <v>2610.7327309619814</v>
      </c>
      <c r="D94" s="1">
        <f t="shared" si="8"/>
        <v>10695.317172621682</v>
      </c>
      <c r="E94" s="1">
        <f t="shared" si="9"/>
        <v>1830872.2111470406</v>
      </c>
    </row>
    <row r="95" spans="1:5">
      <c r="A95">
        <f t="shared" si="5"/>
        <v>82</v>
      </c>
      <c r="B95" s="1">
        <f t="shared" si="6"/>
        <v>13306.049903583664</v>
      </c>
      <c r="C95" s="1">
        <f t="shared" si="7"/>
        <v>2625.962005225927</v>
      </c>
      <c r="D95" s="1">
        <f t="shared" si="8"/>
        <v>10680.087898357737</v>
      </c>
      <c r="E95" s="1">
        <f t="shared" si="9"/>
        <v>1828246.2491418147</v>
      </c>
    </row>
    <row r="96" spans="1:5">
      <c r="A96">
        <f t="shared" si="5"/>
        <v>83</v>
      </c>
      <c r="B96" s="1">
        <f t="shared" si="6"/>
        <v>13306.049903583664</v>
      </c>
      <c r="C96" s="1">
        <f t="shared" si="7"/>
        <v>2641.280116923077</v>
      </c>
      <c r="D96" s="1">
        <f t="shared" si="8"/>
        <v>10664.769786660587</v>
      </c>
      <c r="E96" s="1">
        <f t="shared" si="9"/>
        <v>1825604.9690248915</v>
      </c>
    </row>
    <row r="97" spans="1:5">
      <c r="A97">
        <f t="shared" si="5"/>
        <v>84</v>
      </c>
      <c r="B97" s="1">
        <f t="shared" si="6"/>
        <v>13306.049903583664</v>
      </c>
      <c r="C97" s="1">
        <f t="shared" si="7"/>
        <v>2656.6875842717964</v>
      </c>
      <c r="D97" s="1">
        <f t="shared" si="8"/>
        <v>10649.362319311867</v>
      </c>
      <c r="E97" s="1">
        <f t="shared" si="9"/>
        <v>1822948.2814406196</v>
      </c>
    </row>
    <row r="98" spans="1:5">
      <c r="A98">
        <f t="shared" si="5"/>
        <v>85</v>
      </c>
      <c r="B98" s="1">
        <f t="shared" si="6"/>
        <v>13306.049903583664</v>
      </c>
      <c r="C98" s="1">
        <f t="shared" si="7"/>
        <v>2672.1849285133831</v>
      </c>
      <c r="D98" s="1">
        <f t="shared" si="8"/>
        <v>10633.864975070281</v>
      </c>
      <c r="E98" s="1">
        <f t="shared" si="9"/>
        <v>1820276.0965121062</v>
      </c>
    </row>
    <row r="99" spans="1:5">
      <c r="A99">
        <f t="shared" si="5"/>
        <v>86</v>
      </c>
      <c r="B99" s="1">
        <f t="shared" si="6"/>
        <v>13306.049903583664</v>
      </c>
      <c r="C99" s="1">
        <f t="shared" si="7"/>
        <v>2687.7726739297104</v>
      </c>
      <c r="D99" s="1">
        <f t="shared" si="8"/>
        <v>10618.277229653953</v>
      </c>
      <c r="E99" s="1">
        <f t="shared" si="9"/>
        <v>1817588.3238381764</v>
      </c>
    </row>
    <row r="100" spans="1:5">
      <c r="A100">
        <f t="shared" si="5"/>
        <v>87</v>
      </c>
      <c r="B100" s="1">
        <f t="shared" si="6"/>
        <v>13306.049903583664</v>
      </c>
      <c r="C100" s="1">
        <f t="shared" si="7"/>
        <v>2703.4513478609679</v>
      </c>
      <c r="D100" s="1">
        <f t="shared" si="8"/>
        <v>10602.598555722696</v>
      </c>
      <c r="E100" s="1">
        <f t="shared" si="9"/>
        <v>1814884.8724903155</v>
      </c>
    </row>
    <row r="101" spans="1:5">
      <c r="A101">
        <f t="shared" si="5"/>
        <v>88</v>
      </c>
      <c r="B101" s="1">
        <f t="shared" si="6"/>
        <v>13306.049903583664</v>
      </c>
      <c r="C101" s="1">
        <f t="shared" si="7"/>
        <v>2719.2214807234905</v>
      </c>
      <c r="D101" s="1">
        <f t="shared" si="8"/>
        <v>10586.828422860173</v>
      </c>
      <c r="E101" s="1">
        <f t="shared" si="9"/>
        <v>1812165.651009592</v>
      </c>
    </row>
    <row r="102" spans="1:5">
      <c r="A102">
        <f t="shared" si="5"/>
        <v>89</v>
      </c>
      <c r="B102" s="1">
        <f t="shared" si="6"/>
        <v>13306.049903583664</v>
      </c>
      <c r="C102" s="1">
        <f t="shared" si="7"/>
        <v>2735.0836060277106</v>
      </c>
      <c r="D102" s="1">
        <f t="shared" si="8"/>
        <v>10570.966297555953</v>
      </c>
      <c r="E102" s="1">
        <f t="shared" si="9"/>
        <v>1809430.5674035642</v>
      </c>
    </row>
    <row r="103" spans="1:5">
      <c r="A103">
        <f t="shared" si="5"/>
        <v>90</v>
      </c>
      <c r="B103" s="1">
        <f t="shared" si="6"/>
        <v>13306.049903583664</v>
      </c>
      <c r="C103" s="1">
        <f t="shared" si="7"/>
        <v>2751.0382603962062</v>
      </c>
      <c r="D103" s="1">
        <f t="shared" si="8"/>
        <v>10555.011643187458</v>
      </c>
      <c r="E103" s="1">
        <f t="shared" si="9"/>
        <v>1806679.5291431681</v>
      </c>
    </row>
    <row r="104" spans="1:5">
      <c r="A104">
        <f t="shared" si="5"/>
        <v>91</v>
      </c>
      <c r="B104" s="1">
        <f t="shared" si="6"/>
        <v>13306.049903583664</v>
      </c>
      <c r="C104" s="1">
        <f t="shared" si="7"/>
        <v>2767.0859835818501</v>
      </c>
      <c r="D104" s="1">
        <f t="shared" si="8"/>
        <v>10538.963920001814</v>
      </c>
      <c r="E104" s="1">
        <f t="shared" si="9"/>
        <v>1803912.4431595863</v>
      </c>
    </row>
    <row r="105" spans="1:5">
      <c r="A105">
        <f t="shared" si="5"/>
        <v>92</v>
      </c>
      <c r="B105" s="1">
        <f t="shared" si="6"/>
        <v>13306.049903583664</v>
      </c>
      <c r="C105" s="1">
        <f t="shared" si="7"/>
        <v>2783.2273184860769</v>
      </c>
      <c r="D105" s="1">
        <f t="shared" si="8"/>
        <v>10522.822585097587</v>
      </c>
      <c r="E105" s="1">
        <f t="shared" si="9"/>
        <v>1801129.2158411003</v>
      </c>
    </row>
    <row r="106" spans="1:5">
      <c r="A106">
        <f t="shared" si="5"/>
        <v>93</v>
      </c>
      <c r="B106" s="1">
        <f t="shared" si="6"/>
        <v>13306.049903583664</v>
      </c>
      <c r="C106" s="1">
        <f t="shared" si="7"/>
        <v>2799.4628111772454</v>
      </c>
      <c r="D106" s="1">
        <f t="shared" si="8"/>
        <v>10506.587092406418</v>
      </c>
      <c r="E106" s="1">
        <f t="shared" si="9"/>
        <v>1798329.7530299232</v>
      </c>
    </row>
    <row r="107" spans="1:5">
      <c r="A107">
        <f t="shared" si="5"/>
        <v>94</v>
      </c>
      <c r="B107" s="1">
        <f t="shared" si="6"/>
        <v>13306.049903583664</v>
      </c>
      <c r="C107" s="1">
        <f t="shared" si="7"/>
        <v>2815.7930109091121</v>
      </c>
      <c r="D107" s="1">
        <f t="shared" si="8"/>
        <v>10490.256892674552</v>
      </c>
      <c r="E107" s="1">
        <f t="shared" si="9"/>
        <v>1795513.9600190141</v>
      </c>
    </row>
    <row r="108" spans="1:5">
      <c r="A108">
        <f t="shared" si="5"/>
        <v>95</v>
      </c>
      <c r="B108" s="1">
        <f t="shared" si="6"/>
        <v>13306.049903583664</v>
      </c>
      <c r="C108" s="1">
        <f t="shared" si="7"/>
        <v>2832.2184701394144</v>
      </c>
      <c r="D108" s="1">
        <f t="shared" si="8"/>
        <v>10473.831433444249</v>
      </c>
      <c r="E108" s="1">
        <f t="shared" si="9"/>
        <v>1792681.7415488746</v>
      </c>
    </row>
    <row r="109" spans="1:5">
      <c r="A109">
        <f t="shared" si="5"/>
        <v>96</v>
      </c>
      <c r="B109" s="1">
        <f t="shared" si="6"/>
        <v>13306.049903583664</v>
      </c>
      <c r="C109" s="1">
        <f t="shared" si="7"/>
        <v>2848.7397445485603</v>
      </c>
      <c r="D109" s="1">
        <f t="shared" si="8"/>
        <v>10457.310159035103</v>
      </c>
      <c r="E109" s="1">
        <f t="shared" si="9"/>
        <v>1789833.0018043262</v>
      </c>
    </row>
    <row r="110" spans="1:5">
      <c r="A110">
        <f t="shared" si="5"/>
        <v>97</v>
      </c>
      <c r="B110" s="1">
        <f t="shared" si="6"/>
        <v>13306.049903583664</v>
      </c>
      <c r="C110" s="1">
        <f t="shared" si="7"/>
        <v>2865.357393058428</v>
      </c>
      <c r="D110" s="1">
        <f t="shared" si="8"/>
        <v>10440.692510525236</v>
      </c>
      <c r="E110" s="1">
        <f t="shared" si="9"/>
        <v>1786967.6444112677</v>
      </c>
    </row>
    <row r="111" spans="1:5">
      <c r="A111">
        <f t="shared" si="5"/>
        <v>98</v>
      </c>
      <c r="B111" s="1">
        <f t="shared" si="6"/>
        <v>13306.049903583664</v>
      </c>
      <c r="C111" s="1">
        <f t="shared" si="7"/>
        <v>2882.0719778512685</v>
      </c>
      <c r="D111" s="1">
        <f t="shared" si="8"/>
        <v>10423.977925732395</v>
      </c>
      <c r="E111" s="1">
        <f t="shared" si="9"/>
        <v>1784085.5724334165</v>
      </c>
    </row>
    <row r="112" spans="1:5">
      <c r="A112">
        <f t="shared" si="5"/>
        <v>99</v>
      </c>
      <c r="B112" s="1">
        <f t="shared" si="6"/>
        <v>13306.049903583664</v>
      </c>
      <c r="C112" s="1">
        <f t="shared" si="7"/>
        <v>2898.8840643887343</v>
      </c>
      <c r="D112" s="1">
        <f t="shared" si="8"/>
        <v>10407.16583919493</v>
      </c>
      <c r="E112" s="1">
        <f t="shared" si="9"/>
        <v>1781186.6883690278</v>
      </c>
    </row>
    <row r="113" spans="1:5">
      <c r="A113">
        <f t="shared" si="5"/>
        <v>100</v>
      </c>
      <c r="B113" s="1">
        <f t="shared" si="6"/>
        <v>13306.049903583664</v>
      </c>
      <c r="C113" s="1">
        <f t="shared" si="7"/>
        <v>2915.7942214310006</v>
      </c>
      <c r="D113" s="1">
        <f t="shared" si="8"/>
        <v>10390.255682152663</v>
      </c>
      <c r="E113" s="1">
        <f t="shared" si="9"/>
        <v>1778270.8941475968</v>
      </c>
    </row>
    <row r="114" spans="1:5">
      <c r="A114">
        <f t="shared" si="5"/>
        <v>101</v>
      </c>
      <c r="B114" s="1">
        <f t="shared" si="6"/>
        <v>13306.049903583664</v>
      </c>
      <c r="C114" s="1">
        <f t="shared" si="7"/>
        <v>2932.8030210560155</v>
      </c>
      <c r="D114" s="1">
        <f t="shared" si="8"/>
        <v>10373.246882527648</v>
      </c>
      <c r="E114" s="1">
        <f t="shared" si="9"/>
        <v>1775338.0911265407</v>
      </c>
    </row>
    <row r="115" spans="1:5">
      <c r="A115">
        <f t="shared" si="5"/>
        <v>102</v>
      </c>
      <c r="B115" s="1">
        <f t="shared" si="6"/>
        <v>13306.049903583664</v>
      </c>
      <c r="C115" s="1">
        <f t="shared" si="7"/>
        <v>2949.9110386788434</v>
      </c>
      <c r="D115" s="1">
        <f t="shared" si="8"/>
        <v>10356.13886490482</v>
      </c>
      <c r="E115" s="1">
        <f t="shared" si="9"/>
        <v>1772388.1800878618</v>
      </c>
    </row>
    <row r="116" spans="1:5">
      <c r="A116">
        <f t="shared" si="5"/>
        <v>103</v>
      </c>
      <c r="B116" s="1">
        <f t="shared" si="6"/>
        <v>13306.049903583664</v>
      </c>
      <c r="C116" s="1">
        <f t="shared" si="7"/>
        <v>2967.1188530711352</v>
      </c>
      <c r="D116" s="1">
        <f t="shared" si="8"/>
        <v>10338.931050512529</v>
      </c>
      <c r="E116" s="1">
        <f t="shared" si="9"/>
        <v>1769421.0612347906</v>
      </c>
    </row>
    <row r="117" spans="1:5">
      <c r="A117">
        <f t="shared" si="5"/>
        <v>104</v>
      </c>
      <c r="B117" s="1">
        <f t="shared" si="6"/>
        <v>13306.049903583664</v>
      </c>
      <c r="C117" s="1">
        <f t="shared" si="7"/>
        <v>2984.4270463807188</v>
      </c>
      <c r="D117" s="1">
        <f t="shared" si="8"/>
        <v>10321.622857202945</v>
      </c>
      <c r="E117" s="1">
        <f t="shared" si="9"/>
        <v>1766436.6341884099</v>
      </c>
    </row>
    <row r="118" spans="1:5">
      <c r="A118">
        <f t="shared" si="5"/>
        <v>105</v>
      </c>
      <c r="B118" s="1">
        <f t="shared" si="6"/>
        <v>13306.049903583664</v>
      </c>
      <c r="C118" s="1">
        <f t="shared" si="7"/>
        <v>3001.8362041512719</v>
      </c>
      <c r="D118" s="1">
        <f t="shared" si="8"/>
        <v>10304.213699432392</v>
      </c>
      <c r="E118" s="1">
        <f t="shared" si="9"/>
        <v>1763434.7979842587</v>
      </c>
    </row>
    <row r="119" spans="1:5">
      <c r="A119">
        <f t="shared" si="5"/>
        <v>106</v>
      </c>
      <c r="B119" s="1">
        <f t="shared" si="6"/>
        <v>13306.049903583664</v>
      </c>
      <c r="C119" s="1">
        <f t="shared" si="7"/>
        <v>3019.3469153421538</v>
      </c>
      <c r="D119" s="1">
        <f t="shared" si="8"/>
        <v>10286.70298824151</v>
      </c>
      <c r="E119" s="1">
        <f t="shared" si="9"/>
        <v>1760415.4510689166</v>
      </c>
    </row>
    <row r="120" spans="1:5">
      <c r="A120">
        <f t="shared" si="5"/>
        <v>107</v>
      </c>
      <c r="B120" s="1">
        <f t="shared" si="6"/>
        <v>13306.049903583664</v>
      </c>
      <c r="C120" s="1">
        <f t="shared" si="7"/>
        <v>3036.9597723483166</v>
      </c>
      <c r="D120" s="1">
        <f t="shared" si="8"/>
        <v>10269.090131235347</v>
      </c>
      <c r="E120" s="1">
        <f t="shared" si="9"/>
        <v>1757378.4912965682</v>
      </c>
    </row>
    <row r="121" spans="1:5">
      <c r="A121">
        <f t="shared" si="5"/>
        <v>108</v>
      </c>
      <c r="B121" s="1">
        <f t="shared" si="6"/>
        <v>13306.049903583664</v>
      </c>
      <c r="C121" s="1">
        <f t="shared" si="7"/>
        <v>3054.6753710203484</v>
      </c>
      <c r="D121" s="1">
        <f t="shared" si="8"/>
        <v>10251.374532563315</v>
      </c>
      <c r="E121" s="1">
        <f t="shared" si="9"/>
        <v>1754323.8159255479</v>
      </c>
    </row>
    <row r="122" spans="1:5">
      <c r="A122">
        <f t="shared" si="5"/>
        <v>109</v>
      </c>
      <c r="B122" s="1">
        <f t="shared" si="6"/>
        <v>13306.049903583664</v>
      </c>
      <c r="C122" s="1">
        <f t="shared" si="7"/>
        <v>3072.4943106846349</v>
      </c>
      <c r="D122" s="1">
        <f t="shared" si="8"/>
        <v>10233.555592899029</v>
      </c>
      <c r="E122" s="1">
        <f t="shared" si="9"/>
        <v>1751251.3216148631</v>
      </c>
    </row>
    <row r="123" spans="1:5">
      <c r="A123">
        <f t="shared" si="5"/>
        <v>110</v>
      </c>
      <c r="B123" s="1">
        <f t="shared" si="6"/>
        <v>13306.049903583664</v>
      </c>
      <c r="C123" s="1">
        <f t="shared" si="7"/>
        <v>3090.4171941636287</v>
      </c>
      <c r="D123" s="1">
        <f t="shared" si="8"/>
        <v>10215.632709420035</v>
      </c>
      <c r="E123" s="1">
        <f t="shared" si="9"/>
        <v>1748160.9044206995</v>
      </c>
    </row>
    <row r="124" spans="1:5">
      <c r="A124">
        <f t="shared" si="5"/>
        <v>111</v>
      </c>
      <c r="B124" s="1">
        <f t="shared" si="6"/>
        <v>13306.049903583664</v>
      </c>
      <c r="C124" s="1">
        <f t="shared" si="7"/>
        <v>3108.4446277962506</v>
      </c>
      <c r="D124" s="1">
        <f t="shared" si="8"/>
        <v>10197.605275787413</v>
      </c>
      <c r="E124" s="1">
        <f t="shared" si="9"/>
        <v>1745052.4597929032</v>
      </c>
    </row>
    <row r="125" spans="1:5">
      <c r="A125">
        <f t="shared" si="5"/>
        <v>112</v>
      </c>
      <c r="B125" s="1">
        <f t="shared" si="6"/>
        <v>13306.049903583664</v>
      </c>
      <c r="C125" s="1">
        <f t="shared" si="7"/>
        <v>3126.577221458394</v>
      </c>
      <c r="D125" s="1">
        <f t="shared" si="8"/>
        <v>10179.47268212527</v>
      </c>
      <c r="E125" s="1">
        <f t="shared" si="9"/>
        <v>1741925.8825714448</v>
      </c>
    </row>
    <row r="126" spans="1:5">
      <c r="A126">
        <f t="shared" si="5"/>
        <v>113</v>
      </c>
      <c r="B126" s="1">
        <f t="shared" si="6"/>
        <v>13306.049903583664</v>
      </c>
      <c r="C126" s="1">
        <f t="shared" si="7"/>
        <v>3144.8155885835677</v>
      </c>
      <c r="D126" s="1">
        <f t="shared" si="8"/>
        <v>10161.234315000096</v>
      </c>
      <c r="E126" s="1">
        <f t="shared" si="9"/>
        <v>1738781.0669828614</v>
      </c>
    </row>
    <row r="127" spans="1:5">
      <c r="A127">
        <f t="shared" si="5"/>
        <v>114</v>
      </c>
      <c r="B127" s="1">
        <f t="shared" si="6"/>
        <v>13306.049903583664</v>
      </c>
      <c r="C127" s="1">
        <f t="shared" si="7"/>
        <v>3163.1603461836385</v>
      </c>
      <c r="D127" s="1">
        <f t="shared" si="8"/>
        <v>10142.889557400025</v>
      </c>
      <c r="E127" s="1">
        <f t="shared" si="9"/>
        <v>1735617.9066366777</v>
      </c>
    </row>
    <row r="128" spans="1:5">
      <c r="A128">
        <f t="shared" si="5"/>
        <v>115</v>
      </c>
      <c r="B128" s="1">
        <f t="shared" si="6"/>
        <v>13306.049903583664</v>
      </c>
      <c r="C128" s="1">
        <f t="shared" si="7"/>
        <v>3181.6121148697093</v>
      </c>
      <c r="D128" s="1">
        <f t="shared" si="8"/>
        <v>10124.437788713954</v>
      </c>
      <c r="E128" s="1">
        <f t="shared" si="9"/>
        <v>1732436.2945218079</v>
      </c>
    </row>
    <row r="129" spans="1:5">
      <c r="A129">
        <f t="shared" si="5"/>
        <v>116</v>
      </c>
      <c r="B129" s="1">
        <f t="shared" si="6"/>
        <v>13306.049903583664</v>
      </c>
      <c r="C129" s="1">
        <f t="shared" si="7"/>
        <v>3200.1715188731177</v>
      </c>
      <c r="D129" s="1">
        <f t="shared" si="8"/>
        <v>10105.878384710546</v>
      </c>
      <c r="E129" s="1">
        <f t="shared" si="9"/>
        <v>1729236.1230029347</v>
      </c>
    </row>
    <row r="130" spans="1:5">
      <c r="A130">
        <f t="shared" si="5"/>
        <v>117</v>
      </c>
      <c r="B130" s="1">
        <f t="shared" si="6"/>
        <v>13306.049903583664</v>
      </c>
      <c r="C130" s="1">
        <f t="shared" si="7"/>
        <v>3218.8391860665433</v>
      </c>
      <c r="D130" s="1">
        <f t="shared" si="8"/>
        <v>10087.21071751712</v>
      </c>
      <c r="E130" s="1">
        <f t="shared" si="9"/>
        <v>1726017.2838168682</v>
      </c>
    </row>
    <row r="131" spans="1:5">
      <c r="A131">
        <f t="shared" si="5"/>
        <v>118</v>
      </c>
      <c r="B131" s="1">
        <f t="shared" si="6"/>
        <v>13306.049903583664</v>
      </c>
      <c r="C131" s="1">
        <f t="shared" si="7"/>
        <v>3237.6157479852645</v>
      </c>
      <c r="D131" s="1">
        <f t="shared" si="8"/>
        <v>10068.434155598399</v>
      </c>
      <c r="E131" s="1">
        <f t="shared" si="9"/>
        <v>1722779.668068883</v>
      </c>
    </row>
    <row r="132" spans="1:5">
      <c r="A132">
        <f t="shared" si="5"/>
        <v>119</v>
      </c>
      <c r="B132" s="1">
        <f t="shared" si="6"/>
        <v>13306.049903583664</v>
      </c>
      <c r="C132" s="1">
        <f t="shared" si="7"/>
        <v>3256.5018398485117</v>
      </c>
      <c r="D132" s="1">
        <f t="shared" si="8"/>
        <v>10049.548063735152</v>
      </c>
      <c r="E132" s="1">
        <f t="shared" si="9"/>
        <v>1719523.1662290345</v>
      </c>
    </row>
    <row r="133" spans="1:5">
      <c r="A133">
        <f t="shared" si="5"/>
        <v>120</v>
      </c>
      <c r="B133" s="1">
        <f t="shared" si="6"/>
        <v>13306.049903583664</v>
      </c>
      <c r="C133" s="1">
        <f t="shared" si="7"/>
        <v>3275.4981005809623</v>
      </c>
      <c r="D133" s="1">
        <f t="shared" si="8"/>
        <v>10030.551803002701</v>
      </c>
      <c r="E133" s="1">
        <f t="shared" si="9"/>
        <v>1716247.6681284537</v>
      </c>
    </row>
    <row r="134" spans="1:5">
      <c r="A134">
        <f t="shared" si="5"/>
        <v>121</v>
      </c>
      <c r="B134" s="1">
        <f t="shared" si="6"/>
        <v>13306.049903583664</v>
      </c>
      <c r="C134" s="1">
        <f t="shared" si="7"/>
        <v>3294.60517283435</v>
      </c>
      <c r="D134" s="1">
        <f t="shared" si="8"/>
        <v>10011.444730749314</v>
      </c>
      <c r="E134" s="1">
        <f t="shared" si="9"/>
        <v>1712953.0629556193</v>
      </c>
    </row>
    <row r="135" spans="1:5">
      <c r="A135">
        <f t="shared" si="5"/>
        <v>122</v>
      </c>
      <c r="B135" s="1">
        <f t="shared" si="6"/>
        <v>13306.049903583664</v>
      </c>
      <c r="C135" s="1">
        <f t="shared" si="7"/>
        <v>3313.8237030092168</v>
      </c>
      <c r="D135" s="1">
        <f t="shared" si="8"/>
        <v>9992.2262005744469</v>
      </c>
      <c r="E135" s="1">
        <f t="shared" si="9"/>
        <v>1709639.2392526101</v>
      </c>
    </row>
    <row r="136" spans="1:5">
      <c r="A136">
        <f t="shared" si="5"/>
        <v>123</v>
      </c>
      <c r="B136" s="1">
        <f t="shared" si="6"/>
        <v>13306.049903583664</v>
      </c>
      <c r="C136" s="1">
        <f t="shared" si="7"/>
        <v>3333.1543412767714</v>
      </c>
      <c r="D136" s="1">
        <f t="shared" si="8"/>
        <v>9972.8955623068923</v>
      </c>
      <c r="E136" s="1">
        <f t="shared" si="9"/>
        <v>1706306.0849113334</v>
      </c>
    </row>
    <row r="137" spans="1:5">
      <c r="A137">
        <f t="shared" si="5"/>
        <v>124</v>
      </c>
      <c r="B137" s="1">
        <f t="shared" si="6"/>
        <v>13306.049903583664</v>
      </c>
      <c r="C137" s="1">
        <f t="shared" si="7"/>
        <v>3352.5977416008845</v>
      </c>
      <c r="D137" s="1">
        <f t="shared" si="8"/>
        <v>9953.4521619827792</v>
      </c>
      <c r="E137" s="1">
        <f t="shared" si="9"/>
        <v>1702953.4871697326</v>
      </c>
    </row>
    <row r="138" spans="1:5">
      <c r="A138">
        <f t="shared" si="5"/>
        <v>125</v>
      </c>
      <c r="B138" s="1">
        <f t="shared" si="6"/>
        <v>13306.049903583664</v>
      </c>
      <c r="C138" s="1">
        <f t="shared" si="7"/>
        <v>3372.1545617602242</v>
      </c>
      <c r="D138" s="1">
        <f t="shared" si="8"/>
        <v>9933.8953418234396</v>
      </c>
      <c r="E138" s="1">
        <f t="shared" si="9"/>
        <v>1699581.3326079724</v>
      </c>
    </row>
    <row r="139" spans="1:5">
      <c r="A139">
        <f t="shared" si="5"/>
        <v>126</v>
      </c>
      <c r="B139" s="1">
        <f t="shared" si="6"/>
        <v>13306.049903583664</v>
      </c>
      <c r="C139" s="1">
        <f t="shared" si="7"/>
        <v>3391.825463370491</v>
      </c>
      <c r="D139" s="1">
        <f t="shared" si="8"/>
        <v>9914.2244402131728</v>
      </c>
      <c r="E139" s="1">
        <f t="shared" si="9"/>
        <v>1696189.507144602</v>
      </c>
    </row>
    <row r="140" spans="1:5">
      <c r="A140">
        <f t="shared" si="5"/>
        <v>127</v>
      </c>
      <c r="B140" s="1">
        <f t="shared" si="6"/>
        <v>13306.049903583664</v>
      </c>
      <c r="C140" s="1">
        <f t="shared" si="7"/>
        <v>3411.6111119068173</v>
      </c>
      <c r="D140" s="1">
        <f t="shared" si="8"/>
        <v>9894.4387916768464</v>
      </c>
      <c r="E140" s="1">
        <f t="shared" si="9"/>
        <v>1692777.8960326952</v>
      </c>
    </row>
    <row r="141" spans="1:5">
      <c r="A141">
        <f t="shared" si="5"/>
        <v>128</v>
      </c>
      <c r="B141" s="1">
        <f t="shared" si="6"/>
        <v>13306.049903583664</v>
      </c>
      <c r="C141" s="1">
        <f t="shared" si="7"/>
        <v>3431.5121767262754</v>
      </c>
      <c r="D141" s="1">
        <f t="shared" si="8"/>
        <v>9874.5377268573884</v>
      </c>
      <c r="E141" s="1">
        <f t="shared" si="9"/>
        <v>1689346.3838559689</v>
      </c>
    </row>
    <row r="142" spans="1:5">
      <c r="A142">
        <f t="shared" si="5"/>
        <v>129</v>
      </c>
      <c r="B142" s="1">
        <f t="shared" si="6"/>
        <v>13306.049903583664</v>
      </c>
      <c r="C142" s="1">
        <f t="shared" si="7"/>
        <v>3451.5293310905108</v>
      </c>
      <c r="D142" s="1">
        <f t="shared" si="8"/>
        <v>9854.5205724931529</v>
      </c>
      <c r="E142" s="1">
        <f t="shared" si="9"/>
        <v>1685894.8545248783</v>
      </c>
    </row>
    <row r="143" spans="1:5">
      <c r="A143">
        <f t="shared" si="5"/>
        <v>130</v>
      </c>
      <c r="B143" s="1">
        <f t="shared" si="6"/>
        <v>13306.049903583664</v>
      </c>
      <c r="C143" s="1">
        <f t="shared" si="7"/>
        <v>3471.6632521885404</v>
      </c>
      <c r="D143" s="1">
        <f t="shared" si="8"/>
        <v>9834.3866513951234</v>
      </c>
      <c r="E143" s="1">
        <f t="shared" si="9"/>
        <v>1682423.1912726897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13306.049903583664</v>
      </c>
      <c r="C144" s="1">
        <f t="shared" ref="C144:C178" si="12">IF(A144="","",B144-D144)</f>
        <v>3491.9146211596399</v>
      </c>
      <c r="D144" s="1">
        <f t="shared" ref="D144:D178" si="13">IF(A144="","",(E143*($B$6/$B$8)))</f>
        <v>9814.1352824240239</v>
      </c>
      <c r="E144" s="1">
        <f t="shared" ref="E144:E178" si="14">IF(A144="","",E143-C144)</f>
        <v>1678931.2766515301</v>
      </c>
    </row>
    <row r="145" spans="1:5">
      <c r="A145">
        <f t="shared" si="10"/>
        <v>132</v>
      </c>
      <c r="B145" s="1">
        <f t="shared" si="11"/>
        <v>13306.049903583664</v>
      </c>
      <c r="C145" s="1">
        <f t="shared" si="12"/>
        <v>3512.2841231164039</v>
      </c>
      <c r="D145" s="1">
        <f t="shared" si="13"/>
        <v>9793.7657804672599</v>
      </c>
      <c r="E145" s="1">
        <f t="shared" si="14"/>
        <v>1675418.9925284137</v>
      </c>
    </row>
    <row r="146" spans="1:5">
      <c r="A146">
        <f t="shared" si="10"/>
        <v>133</v>
      </c>
      <c r="B146" s="1">
        <f t="shared" si="11"/>
        <v>13306.049903583664</v>
      </c>
      <c r="C146" s="1">
        <f t="shared" si="12"/>
        <v>3532.7724471679176</v>
      </c>
      <c r="D146" s="1">
        <f t="shared" si="13"/>
        <v>9773.2774564157462</v>
      </c>
      <c r="E146" s="1">
        <f t="shared" si="14"/>
        <v>1671886.2200812458</v>
      </c>
    </row>
    <row r="147" spans="1:5">
      <c r="A147">
        <f t="shared" si="10"/>
        <v>134</v>
      </c>
      <c r="B147" s="1">
        <f t="shared" si="11"/>
        <v>13306.049903583664</v>
      </c>
      <c r="C147" s="1">
        <f t="shared" si="12"/>
        <v>3553.3802864430636</v>
      </c>
      <c r="D147" s="1">
        <f t="shared" si="13"/>
        <v>9752.6696171406002</v>
      </c>
      <c r="E147" s="1">
        <f t="shared" si="14"/>
        <v>1668332.8397948027</v>
      </c>
    </row>
    <row r="148" spans="1:5">
      <c r="A148">
        <f t="shared" si="10"/>
        <v>135</v>
      </c>
      <c r="B148" s="1">
        <f t="shared" si="11"/>
        <v>13306.049903583664</v>
      </c>
      <c r="C148" s="1">
        <f t="shared" si="12"/>
        <v>3574.1083381139815</v>
      </c>
      <c r="D148" s="1">
        <f t="shared" si="13"/>
        <v>9731.9415654696822</v>
      </c>
      <c r="E148" s="1">
        <f t="shared" si="14"/>
        <v>1664758.7314566888</v>
      </c>
    </row>
    <row r="149" spans="1:5">
      <c r="A149">
        <f t="shared" si="10"/>
        <v>136</v>
      </c>
      <c r="B149" s="1">
        <f t="shared" si="11"/>
        <v>13306.049903583664</v>
      </c>
      <c r="C149" s="1">
        <f t="shared" si="12"/>
        <v>3594.9573034196455</v>
      </c>
      <c r="D149" s="1">
        <f t="shared" si="13"/>
        <v>9711.0926001640182</v>
      </c>
      <c r="E149" s="1">
        <f t="shared" si="14"/>
        <v>1661163.7741532691</v>
      </c>
    </row>
    <row r="150" spans="1:5">
      <c r="A150">
        <f t="shared" si="10"/>
        <v>137</v>
      </c>
      <c r="B150" s="1">
        <f t="shared" si="11"/>
        <v>13306.049903583664</v>
      </c>
      <c r="C150" s="1">
        <f t="shared" si="12"/>
        <v>3615.9278876895933</v>
      </c>
      <c r="D150" s="1">
        <f t="shared" si="13"/>
        <v>9690.1220158940705</v>
      </c>
      <c r="E150" s="1">
        <f t="shared" si="14"/>
        <v>1657547.8462655796</v>
      </c>
    </row>
    <row r="151" spans="1:5">
      <c r="A151">
        <f t="shared" si="10"/>
        <v>138</v>
      </c>
      <c r="B151" s="1">
        <f t="shared" si="11"/>
        <v>13306.049903583664</v>
      </c>
      <c r="C151" s="1">
        <f t="shared" si="12"/>
        <v>3637.0208003677817</v>
      </c>
      <c r="D151" s="1">
        <f t="shared" si="13"/>
        <v>9669.0291032158821</v>
      </c>
      <c r="E151" s="1">
        <f t="shared" si="14"/>
        <v>1653910.8254652119</v>
      </c>
    </row>
    <row r="152" spans="1:5">
      <c r="A152">
        <f t="shared" si="10"/>
        <v>139</v>
      </c>
      <c r="B152" s="1">
        <f t="shared" si="11"/>
        <v>13306.049903583664</v>
      </c>
      <c r="C152" s="1">
        <f t="shared" si="12"/>
        <v>3658.2367550365943</v>
      </c>
      <c r="D152" s="1">
        <f t="shared" si="13"/>
        <v>9647.8131485470694</v>
      </c>
      <c r="E152" s="1">
        <f t="shared" si="14"/>
        <v>1650252.5887101754</v>
      </c>
    </row>
    <row r="153" spans="1:5">
      <c r="A153">
        <f t="shared" si="10"/>
        <v>140</v>
      </c>
      <c r="B153" s="1">
        <f t="shared" si="11"/>
        <v>13306.049903583664</v>
      </c>
      <c r="C153" s="1">
        <f t="shared" si="12"/>
        <v>3679.5764694409736</v>
      </c>
      <c r="D153" s="1">
        <f t="shared" si="13"/>
        <v>9626.4734341426902</v>
      </c>
      <c r="E153" s="1">
        <f t="shared" si="14"/>
        <v>1646573.0122407344</v>
      </c>
    </row>
    <row r="154" spans="1:5">
      <c r="A154">
        <f t="shared" si="10"/>
        <v>141</v>
      </c>
      <c r="B154" s="1">
        <f t="shared" si="11"/>
        <v>13306.049903583664</v>
      </c>
      <c r="C154" s="1">
        <f t="shared" si="12"/>
        <v>3701.0406655127117</v>
      </c>
      <c r="D154" s="1">
        <f t="shared" si="13"/>
        <v>9605.0092380709521</v>
      </c>
      <c r="E154" s="1">
        <f t="shared" si="14"/>
        <v>1642871.9715752217</v>
      </c>
    </row>
    <row r="155" spans="1:5">
      <c r="A155">
        <f t="shared" si="10"/>
        <v>142</v>
      </c>
      <c r="B155" s="1">
        <f t="shared" si="11"/>
        <v>13306.049903583664</v>
      </c>
      <c r="C155" s="1">
        <f t="shared" si="12"/>
        <v>3722.6300693948706</v>
      </c>
      <c r="D155" s="1">
        <f t="shared" si="13"/>
        <v>9583.4198341887932</v>
      </c>
      <c r="E155" s="1">
        <f t="shared" si="14"/>
        <v>1639149.3415058269</v>
      </c>
    </row>
    <row r="156" spans="1:5">
      <c r="A156">
        <f t="shared" si="10"/>
        <v>143</v>
      </c>
      <c r="B156" s="1">
        <f t="shared" si="11"/>
        <v>13306.049903583664</v>
      </c>
      <c r="C156" s="1">
        <f t="shared" si="12"/>
        <v>3744.34541146634</v>
      </c>
      <c r="D156" s="1">
        <f t="shared" si="13"/>
        <v>9561.7044921173238</v>
      </c>
      <c r="E156" s="1">
        <f t="shared" si="14"/>
        <v>1635404.9960943605</v>
      </c>
    </row>
    <row r="157" spans="1:5">
      <c r="A157">
        <f t="shared" si="10"/>
        <v>144</v>
      </c>
      <c r="B157" s="1">
        <f t="shared" si="11"/>
        <v>13306.049903583664</v>
      </c>
      <c r="C157" s="1">
        <f t="shared" si="12"/>
        <v>3766.1874263665613</v>
      </c>
      <c r="D157" s="1">
        <f t="shared" si="13"/>
        <v>9539.8624772171024</v>
      </c>
      <c r="E157" s="1">
        <f t="shared" si="14"/>
        <v>1631638.8086679939</v>
      </c>
    </row>
    <row r="158" spans="1:5">
      <c r="A158">
        <f t="shared" si="10"/>
        <v>145</v>
      </c>
      <c r="B158" s="1">
        <f t="shared" si="11"/>
        <v>13306.049903583664</v>
      </c>
      <c r="C158" s="1">
        <f t="shared" si="12"/>
        <v>3788.1568530203658</v>
      </c>
      <c r="D158" s="1">
        <f t="shared" si="13"/>
        <v>9517.8930505632979</v>
      </c>
      <c r="E158" s="1">
        <f t="shared" si="14"/>
        <v>1627850.6518149734</v>
      </c>
    </row>
    <row r="159" spans="1:5">
      <c r="A159">
        <f t="shared" si="10"/>
        <v>146</v>
      </c>
      <c r="B159" s="1">
        <f t="shared" si="11"/>
        <v>13306.049903583664</v>
      </c>
      <c r="C159" s="1">
        <f t="shared" si="12"/>
        <v>3810.2544346629857</v>
      </c>
      <c r="D159" s="1">
        <f t="shared" si="13"/>
        <v>9495.7954689206781</v>
      </c>
      <c r="E159" s="1">
        <f t="shared" si="14"/>
        <v>1624040.3973803106</v>
      </c>
    </row>
    <row r="160" spans="1:5">
      <c r="A160">
        <f t="shared" si="10"/>
        <v>147</v>
      </c>
      <c r="B160" s="1">
        <f t="shared" si="11"/>
        <v>13306.049903583664</v>
      </c>
      <c r="C160" s="1">
        <f t="shared" si="12"/>
        <v>3832.4809188651852</v>
      </c>
      <c r="D160" s="1">
        <f t="shared" si="13"/>
        <v>9473.5689847184785</v>
      </c>
      <c r="E160" s="1">
        <f t="shared" si="14"/>
        <v>1620207.9164614454</v>
      </c>
    </row>
    <row r="161" spans="1:5">
      <c r="A161">
        <f t="shared" si="10"/>
        <v>148</v>
      </c>
      <c r="B161" s="1">
        <f t="shared" si="11"/>
        <v>13306.049903583664</v>
      </c>
      <c r="C161" s="1">
        <f t="shared" si="12"/>
        <v>3854.837057558565</v>
      </c>
      <c r="D161" s="1">
        <f t="shared" si="13"/>
        <v>9451.2128460250988</v>
      </c>
      <c r="E161" s="1">
        <f t="shared" si="14"/>
        <v>1616353.0794038868</v>
      </c>
    </row>
    <row r="162" spans="1:5">
      <c r="A162">
        <f t="shared" si="10"/>
        <v>149</v>
      </c>
      <c r="B162" s="1">
        <f t="shared" si="11"/>
        <v>13306.049903583664</v>
      </c>
      <c r="C162" s="1">
        <f t="shared" si="12"/>
        <v>3877.323607060991</v>
      </c>
      <c r="D162" s="1">
        <f t="shared" si="13"/>
        <v>9428.7262965226728</v>
      </c>
      <c r="E162" s="1">
        <f t="shared" si="14"/>
        <v>1612475.7557968257</v>
      </c>
    </row>
    <row r="163" spans="1:5">
      <c r="A163">
        <f t="shared" si="10"/>
        <v>150</v>
      </c>
      <c r="B163" s="1">
        <f t="shared" si="11"/>
        <v>13306.049903583664</v>
      </c>
      <c r="C163" s="1">
        <f t="shared" si="12"/>
        <v>3899.9413281021807</v>
      </c>
      <c r="D163" s="1">
        <f t="shared" si="13"/>
        <v>9406.1085754814831</v>
      </c>
      <c r="E163" s="1">
        <f t="shared" si="14"/>
        <v>1608575.8144687235</v>
      </c>
    </row>
    <row r="164" spans="1:5">
      <c r="A164">
        <f t="shared" si="10"/>
        <v>151</v>
      </c>
      <c r="B164" s="1">
        <f t="shared" si="11"/>
        <v>13306.049903583664</v>
      </c>
      <c r="C164" s="1">
        <f t="shared" si="12"/>
        <v>3922.6909858494437</v>
      </c>
      <c r="D164" s="1">
        <f t="shared" si="13"/>
        <v>9383.3589177342201</v>
      </c>
      <c r="E164" s="1">
        <f t="shared" si="14"/>
        <v>1604653.1234828741</v>
      </c>
    </row>
    <row r="165" spans="1:5">
      <c r="A165">
        <f t="shared" si="10"/>
        <v>152</v>
      </c>
      <c r="B165" s="1">
        <f t="shared" si="11"/>
        <v>13306.049903583664</v>
      </c>
      <c r="C165" s="1">
        <f t="shared" si="12"/>
        <v>3945.5733499335638</v>
      </c>
      <c r="D165" s="1">
        <f t="shared" si="13"/>
        <v>9360.4765536501</v>
      </c>
      <c r="E165" s="1">
        <f t="shared" si="14"/>
        <v>1600707.5501329405</v>
      </c>
    </row>
    <row r="166" spans="1:5">
      <c r="A166">
        <f t="shared" si="10"/>
        <v>153</v>
      </c>
      <c r="B166" s="1">
        <f t="shared" si="11"/>
        <v>13306.049903583664</v>
      </c>
      <c r="C166" s="1">
        <f t="shared" si="12"/>
        <v>3968.5891944748437</v>
      </c>
      <c r="D166" s="1">
        <f t="shared" si="13"/>
        <v>9337.4607091088201</v>
      </c>
      <c r="E166" s="1">
        <f t="shared" si="14"/>
        <v>1596738.9609384658</v>
      </c>
    </row>
    <row r="167" spans="1:5">
      <c r="A167">
        <f t="shared" si="10"/>
        <v>154</v>
      </c>
      <c r="B167" s="1">
        <f t="shared" si="11"/>
        <v>13306.049903583664</v>
      </c>
      <c r="C167" s="1">
        <f t="shared" si="12"/>
        <v>3991.7392981092798</v>
      </c>
      <c r="D167" s="1">
        <f t="shared" si="13"/>
        <v>9314.3106054743839</v>
      </c>
      <c r="E167" s="1">
        <f t="shared" si="14"/>
        <v>1592747.2216403566</v>
      </c>
    </row>
    <row r="168" spans="1:5">
      <c r="A168">
        <f t="shared" si="10"/>
        <v>155</v>
      </c>
      <c r="B168" s="1">
        <f t="shared" si="11"/>
        <v>13306.049903583664</v>
      </c>
      <c r="C168" s="1">
        <f t="shared" si="12"/>
        <v>4015.0244440149163</v>
      </c>
      <c r="D168" s="1">
        <f t="shared" si="13"/>
        <v>9291.0254595687475</v>
      </c>
      <c r="E168" s="1">
        <f t="shared" si="14"/>
        <v>1588732.1971963416</v>
      </c>
    </row>
    <row r="169" spans="1:5">
      <c r="A169">
        <f t="shared" si="10"/>
        <v>156</v>
      </c>
      <c r="B169" s="1">
        <f t="shared" si="11"/>
        <v>13306.049903583664</v>
      </c>
      <c r="C169" s="1">
        <f t="shared" si="12"/>
        <v>4038.4454199383381</v>
      </c>
      <c r="D169" s="1">
        <f t="shared" si="13"/>
        <v>9267.6044836453257</v>
      </c>
      <c r="E169" s="1">
        <f t="shared" si="14"/>
        <v>1584693.7517764033</v>
      </c>
    </row>
    <row r="170" spans="1:5">
      <c r="A170">
        <f t="shared" si="10"/>
        <v>157</v>
      </c>
      <c r="B170" s="1">
        <f t="shared" si="11"/>
        <v>13306.049903583664</v>
      </c>
      <c r="C170" s="1">
        <f t="shared" si="12"/>
        <v>4062.0030182213104</v>
      </c>
      <c r="D170" s="1">
        <f t="shared" si="13"/>
        <v>9244.0468853623534</v>
      </c>
      <c r="E170" s="1">
        <f t="shared" si="14"/>
        <v>1580631.7487581819</v>
      </c>
    </row>
    <row r="171" spans="1:5">
      <c r="A171">
        <f t="shared" si="10"/>
        <v>158</v>
      </c>
      <c r="B171" s="1">
        <f t="shared" si="11"/>
        <v>13306.049903583664</v>
      </c>
      <c r="C171" s="1">
        <f t="shared" si="12"/>
        <v>4085.6980358276014</v>
      </c>
      <c r="D171" s="1">
        <f t="shared" si="13"/>
        <v>9220.3518677560623</v>
      </c>
      <c r="E171" s="1">
        <f t="shared" si="14"/>
        <v>1576546.0507223543</v>
      </c>
    </row>
    <row r="172" spans="1:5">
      <c r="A172">
        <f t="shared" si="10"/>
        <v>159</v>
      </c>
      <c r="B172" s="1">
        <f t="shared" si="11"/>
        <v>13306.049903583664</v>
      </c>
      <c r="C172" s="1">
        <f t="shared" si="12"/>
        <v>4109.5312743699305</v>
      </c>
      <c r="D172" s="1">
        <f t="shared" si="13"/>
        <v>9196.5186292137332</v>
      </c>
      <c r="E172" s="1">
        <f t="shared" si="14"/>
        <v>1572436.5194479844</v>
      </c>
    </row>
    <row r="173" spans="1:5">
      <c r="A173">
        <f t="shared" si="10"/>
        <v>160</v>
      </c>
      <c r="B173" s="1">
        <f t="shared" si="11"/>
        <v>13306.049903583664</v>
      </c>
      <c r="C173" s="1">
        <f t="shared" si="12"/>
        <v>4133.5035401370878</v>
      </c>
      <c r="D173" s="1">
        <f t="shared" si="13"/>
        <v>9172.5463634465759</v>
      </c>
      <c r="E173" s="1">
        <f t="shared" si="14"/>
        <v>1568303.0159078473</v>
      </c>
    </row>
    <row r="174" spans="1:5">
      <c r="A174">
        <f t="shared" si="10"/>
        <v>161</v>
      </c>
      <c r="B174" s="1">
        <f t="shared" si="11"/>
        <v>13306.049903583664</v>
      </c>
      <c r="C174" s="1">
        <f t="shared" si="12"/>
        <v>4157.6156441212206</v>
      </c>
      <c r="D174" s="1">
        <f t="shared" si="13"/>
        <v>9148.4342594624432</v>
      </c>
      <c r="E174" s="1">
        <f t="shared" si="14"/>
        <v>1564145.400263726</v>
      </c>
    </row>
    <row r="175" spans="1:5">
      <c r="A175">
        <f t="shared" si="10"/>
        <v>162</v>
      </c>
      <c r="B175" s="1">
        <f t="shared" si="11"/>
        <v>13306.049903583664</v>
      </c>
      <c r="C175" s="1">
        <f t="shared" si="12"/>
        <v>4181.868402045262</v>
      </c>
      <c r="D175" s="1">
        <f t="shared" si="13"/>
        <v>9124.1815015384018</v>
      </c>
      <c r="E175" s="1">
        <f t="shared" si="14"/>
        <v>1559963.5318616808</v>
      </c>
    </row>
    <row r="176" spans="1:5">
      <c r="A176">
        <f t="shared" si="10"/>
        <v>163</v>
      </c>
      <c r="B176" s="1">
        <f t="shared" si="11"/>
        <v>13306.049903583664</v>
      </c>
      <c r="C176" s="1">
        <f t="shared" si="12"/>
        <v>4206.2626343905249</v>
      </c>
      <c r="D176" s="1">
        <f t="shared" si="13"/>
        <v>9099.7872691931389</v>
      </c>
      <c r="E176" s="1">
        <f t="shared" si="14"/>
        <v>1555757.2692272903</v>
      </c>
    </row>
    <row r="177" spans="1:5">
      <c r="A177">
        <f t="shared" si="10"/>
        <v>164</v>
      </c>
      <c r="B177" s="1">
        <f t="shared" si="11"/>
        <v>13306.049903583664</v>
      </c>
      <c r="C177" s="1">
        <f t="shared" si="12"/>
        <v>4230.7991664244691</v>
      </c>
      <c r="D177" s="1">
        <f t="shared" si="13"/>
        <v>9075.2507371591946</v>
      </c>
      <c r="E177" s="1">
        <f t="shared" si="14"/>
        <v>1551526.4700608659</v>
      </c>
    </row>
    <row r="178" spans="1:5">
      <c r="A178">
        <f t="shared" si="10"/>
        <v>165</v>
      </c>
      <c r="B178" s="1">
        <f t="shared" si="11"/>
        <v>13306.049903583664</v>
      </c>
      <c r="C178" s="1">
        <f t="shared" si="12"/>
        <v>4255.4788282286117</v>
      </c>
      <c r="D178" s="1">
        <f t="shared" si="13"/>
        <v>9050.571075355052</v>
      </c>
      <c r="E178" s="1">
        <f t="shared" si="14"/>
        <v>1547270.9912326373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13306.049903583664</v>
      </c>
      <c r="C179" s="1">
        <f t="shared" ref="C179:C242" si="16">IF(A179="","",B179-D179)</f>
        <v>4280.3024547266123</v>
      </c>
      <c r="D179" s="1">
        <f t="shared" ref="D179:D242" si="17">IF(A179="","",(E178*($B$6/$B$8)))</f>
        <v>9025.7474488570515</v>
      </c>
      <c r="E179" s="1">
        <f t="shared" ref="E179:E242" si="18">IF(A179="","",E178-C179)</f>
        <v>1542990.6887779108</v>
      </c>
    </row>
    <row r="180" spans="1:5">
      <c r="A180">
        <f t="shared" si="15"/>
        <v>167</v>
      </c>
      <c r="B180" s="1">
        <f t="shared" si="11"/>
        <v>13306.049903583664</v>
      </c>
      <c r="C180" s="1">
        <f t="shared" si="16"/>
        <v>4305.2708857125162</v>
      </c>
      <c r="D180" s="1">
        <f t="shared" si="17"/>
        <v>9000.7790178711475</v>
      </c>
      <c r="E180" s="1">
        <f t="shared" si="18"/>
        <v>1538685.4178921983</v>
      </c>
    </row>
    <row r="181" spans="1:5">
      <c r="A181">
        <f t="shared" si="15"/>
        <v>168</v>
      </c>
      <c r="B181" s="1">
        <f t="shared" si="11"/>
        <v>13306.049903583664</v>
      </c>
      <c r="C181" s="1">
        <f t="shared" si="16"/>
        <v>4330.3849658791733</v>
      </c>
      <c r="D181" s="1">
        <f t="shared" si="17"/>
        <v>8975.6649377044905</v>
      </c>
      <c r="E181" s="1">
        <f t="shared" si="18"/>
        <v>1534355.0329263192</v>
      </c>
    </row>
    <row r="182" spans="1:5">
      <c r="A182">
        <f t="shared" si="15"/>
        <v>169</v>
      </c>
      <c r="B182" s="1">
        <f t="shared" si="11"/>
        <v>13306.049903583664</v>
      </c>
      <c r="C182" s="1">
        <f t="shared" si="16"/>
        <v>4355.6455448468023</v>
      </c>
      <c r="D182" s="1">
        <f t="shared" si="17"/>
        <v>8950.4043587368615</v>
      </c>
      <c r="E182" s="1">
        <f t="shared" si="18"/>
        <v>1529999.3873814724</v>
      </c>
    </row>
    <row r="183" spans="1:5">
      <c r="A183">
        <f t="shared" si="15"/>
        <v>170</v>
      </c>
      <c r="B183" s="1">
        <f t="shared" si="11"/>
        <v>13306.049903583664</v>
      </c>
      <c r="C183" s="1">
        <f t="shared" si="16"/>
        <v>4381.053477191741</v>
      </c>
      <c r="D183" s="1">
        <f t="shared" si="17"/>
        <v>8924.9964263919228</v>
      </c>
      <c r="E183" s="1">
        <f t="shared" si="18"/>
        <v>1525618.3339042806</v>
      </c>
    </row>
    <row r="184" spans="1:5">
      <c r="A184">
        <f t="shared" si="15"/>
        <v>171</v>
      </c>
      <c r="B184" s="1">
        <f t="shared" si="11"/>
        <v>13306.049903583664</v>
      </c>
      <c r="C184" s="1">
        <f t="shared" si="16"/>
        <v>4406.6096224753601</v>
      </c>
      <c r="D184" s="1">
        <f t="shared" si="17"/>
        <v>8899.4402811083037</v>
      </c>
      <c r="E184" s="1">
        <f t="shared" si="18"/>
        <v>1521211.7242818051</v>
      </c>
    </row>
    <row r="185" spans="1:5">
      <c r="A185">
        <f t="shared" si="15"/>
        <v>172</v>
      </c>
      <c r="B185" s="1">
        <f t="shared" si="11"/>
        <v>13306.049903583664</v>
      </c>
      <c r="C185" s="1">
        <f t="shared" si="16"/>
        <v>4432.314845273133</v>
      </c>
      <c r="D185" s="1">
        <f t="shared" si="17"/>
        <v>8873.7350583105308</v>
      </c>
      <c r="E185" s="1">
        <f t="shared" si="18"/>
        <v>1516779.4094365321</v>
      </c>
    </row>
    <row r="186" spans="1:5">
      <c r="A186">
        <f t="shared" si="15"/>
        <v>173</v>
      </c>
      <c r="B186" s="1">
        <f t="shared" si="11"/>
        <v>13306.049903583664</v>
      </c>
      <c r="C186" s="1">
        <f t="shared" si="16"/>
        <v>4458.1700152038939</v>
      </c>
      <c r="D186" s="1">
        <f t="shared" si="17"/>
        <v>8847.8798883797699</v>
      </c>
      <c r="E186" s="1">
        <f t="shared" si="18"/>
        <v>1512321.2394213281</v>
      </c>
    </row>
    <row r="187" spans="1:5">
      <c r="A187">
        <f t="shared" si="15"/>
        <v>174</v>
      </c>
      <c r="B187" s="1">
        <f t="shared" si="11"/>
        <v>13306.049903583664</v>
      </c>
      <c r="C187" s="1">
        <f t="shared" si="16"/>
        <v>4484.1760069592492</v>
      </c>
      <c r="D187" s="1">
        <f t="shared" si="17"/>
        <v>8821.8738966244146</v>
      </c>
      <c r="E187" s="1">
        <f t="shared" si="18"/>
        <v>1507837.0634143688</v>
      </c>
    </row>
    <row r="188" spans="1:5">
      <c r="A188">
        <f t="shared" si="15"/>
        <v>175</v>
      </c>
      <c r="B188" s="1">
        <f t="shared" si="11"/>
        <v>13306.049903583664</v>
      </c>
      <c r="C188" s="1">
        <f t="shared" si="16"/>
        <v>4510.3337003331781</v>
      </c>
      <c r="D188" s="1">
        <f t="shared" si="17"/>
        <v>8795.7162032504857</v>
      </c>
      <c r="E188" s="1">
        <f t="shared" si="18"/>
        <v>1503326.7297140355</v>
      </c>
    </row>
    <row r="189" spans="1:5">
      <c r="A189">
        <f t="shared" si="15"/>
        <v>176</v>
      </c>
      <c r="B189" s="1">
        <f t="shared" si="11"/>
        <v>13306.049903583664</v>
      </c>
      <c r="C189" s="1">
        <f t="shared" si="16"/>
        <v>4536.6439802517889</v>
      </c>
      <c r="D189" s="1">
        <f t="shared" si="17"/>
        <v>8769.4059233318749</v>
      </c>
      <c r="E189" s="1">
        <f t="shared" si="18"/>
        <v>1498790.0857337837</v>
      </c>
    </row>
    <row r="190" spans="1:5">
      <c r="A190">
        <f t="shared" si="15"/>
        <v>177</v>
      </c>
      <c r="B190" s="1">
        <f t="shared" si="11"/>
        <v>13306.049903583664</v>
      </c>
      <c r="C190" s="1">
        <f t="shared" si="16"/>
        <v>4563.1077368032584</v>
      </c>
      <c r="D190" s="1">
        <f t="shared" si="17"/>
        <v>8742.9421667804054</v>
      </c>
      <c r="E190" s="1">
        <f t="shared" si="18"/>
        <v>1494226.9779969803</v>
      </c>
    </row>
    <row r="191" spans="1:5">
      <c r="A191">
        <f t="shared" si="15"/>
        <v>178</v>
      </c>
      <c r="B191" s="1">
        <f t="shared" si="11"/>
        <v>13306.049903583664</v>
      </c>
      <c r="C191" s="1">
        <f t="shared" si="16"/>
        <v>4589.7258652679448</v>
      </c>
      <c r="D191" s="1">
        <f t="shared" si="17"/>
        <v>8716.324038315719</v>
      </c>
      <c r="E191" s="1">
        <f t="shared" si="18"/>
        <v>1489637.2521317124</v>
      </c>
    </row>
    <row r="192" spans="1:5">
      <c r="A192">
        <f t="shared" si="15"/>
        <v>179</v>
      </c>
      <c r="B192" s="1">
        <f t="shared" si="11"/>
        <v>13306.049903583664</v>
      </c>
      <c r="C192" s="1">
        <f t="shared" si="16"/>
        <v>4616.499266148674</v>
      </c>
      <c r="D192" s="1">
        <f t="shared" si="17"/>
        <v>8689.5506374349898</v>
      </c>
      <c r="E192" s="1">
        <f t="shared" si="18"/>
        <v>1485020.7528655636</v>
      </c>
    </row>
    <row r="193" spans="1:5">
      <c r="A193">
        <f t="shared" si="15"/>
        <v>180</v>
      </c>
      <c r="B193" s="1">
        <f t="shared" si="11"/>
        <v>13306.049903583664</v>
      </c>
      <c r="C193" s="1">
        <f t="shared" si="16"/>
        <v>4643.4288452012097</v>
      </c>
      <c r="D193" s="1">
        <f t="shared" si="17"/>
        <v>8662.6210583824541</v>
      </c>
      <c r="E193" s="1">
        <f t="shared" si="18"/>
        <v>1480377.3240203625</v>
      </c>
    </row>
    <row r="194" spans="1:5">
      <c r="A194">
        <f t="shared" si="15"/>
        <v>181</v>
      </c>
      <c r="B194" s="1">
        <f t="shared" si="11"/>
        <v>13306.049903583664</v>
      </c>
      <c r="C194" s="1">
        <f t="shared" si="16"/>
        <v>4670.515513464883</v>
      </c>
      <c r="D194" s="1">
        <f t="shared" si="17"/>
        <v>8635.5343901187807</v>
      </c>
      <c r="E194" s="1">
        <f t="shared" si="18"/>
        <v>1475706.8085068977</v>
      </c>
    </row>
    <row r="195" spans="1:5">
      <c r="A195">
        <f t="shared" si="15"/>
        <v>182</v>
      </c>
      <c r="B195" s="1">
        <f t="shared" si="11"/>
        <v>13306.049903583664</v>
      </c>
      <c r="C195" s="1">
        <f t="shared" si="16"/>
        <v>4697.7601872934265</v>
      </c>
      <c r="D195" s="1">
        <f t="shared" si="17"/>
        <v>8608.2897162902373</v>
      </c>
      <c r="E195" s="1">
        <f t="shared" si="18"/>
        <v>1471009.0483196042</v>
      </c>
    </row>
    <row r="196" spans="1:5">
      <c r="A196">
        <f t="shared" si="15"/>
        <v>183</v>
      </c>
      <c r="B196" s="1">
        <f t="shared" si="11"/>
        <v>13306.049903583664</v>
      </c>
      <c r="C196" s="1">
        <f t="shared" si="16"/>
        <v>4725.1637883859712</v>
      </c>
      <c r="D196" s="1">
        <f t="shared" si="17"/>
        <v>8580.8861151976926</v>
      </c>
      <c r="E196" s="1">
        <f t="shared" si="18"/>
        <v>1466283.8845312183</v>
      </c>
    </row>
    <row r="197" spans="1:5">
      <c r="A197">
        <f t="shared" si="15"/>
        <v>184</v>
      </c>
      <c r="B197" s="1">
        <f t="shared" si="11"/>
        <v>13306.049903583664</v>
      </c>
      <c r="C197" s="1">
        <f t="shared" si="16"/>
        <v>4752.7272438182226</v>
      </c>
      <c r="D197" s="1">
        <f t="shared" si="17"/>
        <v>8553.3226597654411</v>
      </c>
      <c r="E197" s="1">
        <f t="shared" si="18"/>
        <v>1461531.1572874002</v>
      </c>
    </row>
    <row r="198" spans="1:5">
      <c r="A198">
        <f t="shared" si="15"/>
        <v>185</v>
      </c>
      <c r="B198" s="1">
        <f t="shared" si="11"/>
        <v>13306.049903583664</v>
      </c>
      <c r="C198" s="1">
        <f t="shared" si="16"/>
        <v>4780.4514860738291</v>
      </c>
      <c r="D198" s="1">
        <f t="shared" si="17"/>
        <v>8525.5984175098347</v>
      </c>
      <c r="E198" s="1">
        <f t="shared" si="18"/>
        <v>1456750.7058013263</v>
      </c>
    </row>
    <row r="199" spans="1:5">
      <c r="A199">
        <f t="shared" si="15"/>
        <v>186</v>
      </c>
      <c r="B199" s="1">
        <f t="shared" si="11"/>
        <v>13306.049903583664</v>
      </c>
      <c r="C199" s="1">
        <f t="shared" si="16"/>
        <v>4808.3374530759265</v>
      </c>
      <c r="D199" s="1">
        <f t="shared" si="17"/>
        <v>8497.7124505077372</v>
      </c>
      <c r="E199" s="1">
        <f t="shared" si="18"/>
        <v>1451942.3683482504</v>
      </c>
    </row>
    <row r="200" spans="1:5">
      <c r="A200">
        <f t="shared" si="15"/>
        <v>187</v>
      </c>
      <c r="B200" s="1">
        <f t="shared" si="11"/>
        <v>13306.049903583664</v>
      </c>
      <c r="C200" s="1">
        <f t="shared" si="16"/>
        <v>4836.3860882188692</v>
      </c>
      <c r="D200" s="1">
        <f t="shared" si="17"/>
        <v>8469.6638153647946</v>
      </c>
      <c r="E200" s="1">
        <f t="shared" si="18"/>
        <v>1447105.9822600316</v>
      </c>
    </row>
    <row r="201" spans="1:5">
      <c r="A201">
        <f t="shared" si="15"/>
        <v>188</v>
      </c>
      <c r="B201" s="1">
        <f t="shared" si="11"/>
        <v>13306.049903583664</v>
      </c>
      <c r="C201" s="1">
        <f t="shared" si="16"/>
        <v>4864.5983404001454</v>
      </c>
      <c r="D201" s="1">
        <f t="shared" si="17"/>
        <v>8441.4515631835184</v>
      </c>
      <c r="E201" s="1">
        <f t="shared" si="18"/>
        <v>1442241.3839196316</v>
      </c>
    </row>
    <row r="202" spans="1:5">
      <c r="A202">
        <f t="shared" si="15"/>
        <v>189</v>
      </c>
      <c r="B202" s="1">
        <f t="shared" si="11"/>
        <v>13306.049903583664</v>
      </c>
      <c r="C202" s="1">
        <f t="shared" si="16"/>
        <v>4892.9751640524792</v>
      </c>
      <c r="D202" s="1">
        <f t="shared" si="17"/>
        <v>8413.0747395311846</v>
      </c>
      <c r="E202" s="1">
        <f t="shared" si="18"/>
        <v>1437348.408755579</v>
      </c>
    </row>
    <row r="203" spans="1:5">
      <c r="A203">
        <f t="shared" si="15"/>
        <v>190</v>
      </c>
      <c r="B203" s="1">
        <f t="shared" si="11"/>
        <v>13306.049903583664</v>
      </c>
      <c r="C203" s="1">
        <f t="shared" si="16"/>
        <v>4921.5175191761191</v>
      </c>
      <c r="D203" s="1">
        <f t="shared" si="17"/>
        <v>8384.5323844075447</v>
      </c>
      <c r="E203" s="1">
        <f t="shared" si="18"/>
        <v>1432426.891236403</v>
      </c>
    </row>
    <row r="204" spans="1:5">
      <c r="A204">
        <f t="shared" si="15"/>
        <v>191</v>
      </c>
      <c r="B204" s="1">
        <f t="shared" si="11"/>
        <v>13306.049903583664</v>
      </c>
      <c r="C204" s="1">
        <f t="shared" si="16"/>
        <v>4950.2263713713128</v>
      </c>
      <c r="D204" s="1">
        <f t="shared" si="17"/>
        <v>8355.823532212351</v>
      </c>
      <c r="E204" s="1">
        <f t="shared" si="18"/>
        <v>1427476.6648650316</v>
      </c>
    </row>
    <row r="205" spans="1:5">
      <c r="A205">
        <f t="shared" si="15"/>
        <v>192</v>
      </c>
      <c r="B205" s="1">
        <f t="shared" si="11"/>
        <v>13306.049903583664</v>
      </c>
      <c r="C205" s="1">
        <f t="shared" si="16"/>
        <v>4979.1026918709795</v>
      </c>
      <c r="D205" s="1">
        <f t="shared" si="17"/>
        <v>8326.9472117126843</v>
      </c>
      <c r="E205" s="1">
        <f t="shared" si="18"/>
        <v>1422497.5621731607</v>
      </c>
    </row>
    <row r="206" spans="1:5">
      <c r="A206">
        <f t="shared" si="15"/>
        <v>193</v>
      </c>
      <c r="B206" s="1">
        <f t="shared" si="11"/>
        <v>13306.049903583664</v>
      </c>
      <c r="C206" s="1">
        <f t="shared" si="16"/>
        <v>5008.1474575735592</v>
      </c>
      <c r="D206" s="1">
        <f t="shared" si="17"/>
        <v>8297.9024460101045</v>
      </c>
      <c r="E206" s="1">
        <f t="shared" si="18"/>
        <v>1417489.4147155872</v>
      </c>
    </row>
    <row r="207" spans="1:5">
      <c r="A207">
        <f t="shared" si="15"/>
        <v>194</v>
      </c>
      <c r="B207" s="1">
        <f t="shared" si="11"/>
        <v>13306.049903583664</v>
      </c>
      <c r="C207" s="1">
        <f t="shared" si="16"/>
        <v>5037.3616510760712</v>
      </c>
      <c r="D207" s="1">
        <f t="shared" si="17"/>
        <v>8268.6882525075926</v>
      </c>
      <c r="E207" s="1">
        <f t="shared" si="18"/>
        <v>1412452.0530645112</v>
      </c>
    </row>
    <row r="208" spans="1:5">
      <c r="A208">
        <f t="shared" si="15"/>
        <v>195</v>
      </c>
      <c r="B208" s="1">
        <f t="shared" ref="B208:B271" si="19">IF(A208="","",$B$14)</f>
        <v>13306.049903583664</v>
      </c>
      <c r="C208" s="1">
        <f t="shared" si="16"/>
        <v>5066.7462607073485</v>
      </c>
      <c r="D208" s="1">
        <f t="shared" si="17"/>
        <v>8239.3036428763153</v>
      </c>
      <c r="E208" s="1">
        <f t="shared" si="18"/>
        <v>1407385.3068038039</v>
      </c>
    </row>
    <row r="209" spans="1:5">
      <c r="A209">
        <f t="shared" si="15"/>
        <v>196</v>
      </c>
      <c r="B209" s="1">
        <f t="shared" si="19"/>
        <v>13306.049903583664</v>
      </c>
      <c r="C209" s="1">
        <f t="shared" si="16"/>
        <v>5096.3022805614746</v>
      </c>
      <c r="D209" s="1">
        <f t="shared" si="17"/>
        <v>8209.7476230221891</v>
      </c>
      <c r="E209" s="1">
        <f t="shared" si="18"/>
        <v>1402289.0045232424</v>
      </c>
    </row>
    <row r="210" spans="1:5">
      <c r="A210">
        <f t="shared" si="15"/>
        <v>197</v>
      </c>
      <c r="B210" s="1">
        <f t="shared" si="19"/>
        <v>13306.049903583664</v>
      </c>
      <c r="C210" s="1">
        <f t="shared" si="16"/>
        <v>5126.0307105314159</v>
      </c>
      <c r="D210" s="1">
        <f t="shared" si="17"/>
        <v>8180.0191930522478</v>
      </c>
      <c r="E210" s="1">
        <f t="shared" si="18"/>
        <v>1397162.973812711</v>
      </c>
    </row>
    <row r="211" spans="1:5">
      <c r="A211">
        <f t="shared" si="15"/>
        <v>198</v>
      </c>
      <c r="B211" s="1">
        <f t="shared" si="19"/>
        <v>13306.049903583664</v>
      </c>
      <c r="C211" s="1">
        <f t="shared" si="16"/>
        <v>5155.9325563428492</v>
      </c>
      <c r="D211" s="1">
        <f t="shared" si="17"/>
        <v>8150.1173472408145</v>
      </c>
      <c r="E211" s="1">
        <f t="shared" si="18"/>
        <v>1392007.0412563682</v>
      </c>
    </row>
    <row r="212" spans="1:5">
      <c r="A212">
        <f t="shared" si="15"/>
        <v>199</v>
      </c>
      <c r="B212" s="1">
        <f t="shared" si="19"/>
        <v>13306.049903583664</v>
      </c>
      <c r="C212" s="1">
        <f t="shared" si="16"/>
        <v>5186.0088295881824</v>
      </c>
      <c r="D212" s="1">
        <f t="shared" si="17"/>
        <v>8120.0410739954814</v>
      </c>
      <c r="E212" s="1">
        <f t="shared" si="18"/>
        <v>1386821.0324267801</v>
      </c>
    </row>
    <row r="213" spans="1:5">
      <c r="A213">
        <f t="shared" si="15"/>
        <v>200</v>
      </c>
      <c r="B213" s="1">
        <f t="shared" si="19"/>
        <v>13306.049903583664</v>
      </c>
      <c r="C213" s="1">
        <f t="shared" si="16"/>
        <v>5216.2605477607794</v>
      </c>
      <c r="D213" s="1">
        <f t="shared" si="17"/>
        <v>8089.7893558228843</v>
      </c>
      <c r="E213" s="1">
        <f t="shared" si="18"/>
        <v>1381604.7718790192</v>
      </c>
    </row>
    <row r="214" spans="1:5">
      <c r="A214">
        <f t="shared" si="15"/>
        <v>201</v>
      </c>
      <c r="B214" s="1">
        <f t="shared" si="19"/>
        <v>13306.049903583664</v>
      </c>
      <c r="C214" s="1">
        <f t="shared" si="16"/>
        <v>5246.6887342893842</v>
      </c>
      <c r="D214" s="1">
        <f t="shared" si="17"/>
        <v>8059.3611692942795</v>
      </c>
      <c r="E214" s="1">
        <f t="shared" si="18"/>
        <v>1376358.0831447297</v>
      </c>
    </row>
    <row r="215" spans="1:5">
      <c r="A215">
        <f t="shared" si="15"/>
        <v>202</v>
      </c>
      <c r="B215" s="1">
        <f t="shared" si="19"/>
        <v>13306.049903583664</v>
      </c>
      <c r="C215" s="1">
        <f t="shared" si="16"/>
        <v>5277.2944185727401</v>
      </c>
      <c r="D215" s="1">
        <f t="shared" si="17"/>
        <v>8028.7554850109236</v>
      </c>
      <c r="E215" s="1">
        <f t="shared" si="18"/>
        <v>1371080.788726157</v>
      </c>
    </row>
    <row r="216" spans="1:5">
      <c r="A216">
        <f t="shared" si="15"/>
        <v>203</v>
      </c>
      <c r="B216" s="1">
        <f t="shared" si="19"/>
        <v>13306.049903583664</v>
      </c>
      <c r="C216" s="1">
        <f t="shared" si="16"/>
        <v>5308.0786360144139</v>
      </c>
      <c r="D216" s="1">
        <f t="shared" si="17"/>
        <v>7997.9712675692499</v>
      </c>
      <c r="E216" s="1">
        <f t="shared" si="18"/>
        <v>1365772.7100901427</v>
      </c>
    </row>
    <row r="217" spans="1:5">
      <c r="A217">
        <f t="shared" si="15"/>
        <v>204</v>
      </c>
      <c r="B217" s="1">
        <f t="shared" si="19"/>
        <v>13306.049903583664</v>
      </c>
      <c r="C217" s="1">
        <f t="shared" si="16"/>
        <v>5339.0424280578309</v>
      </c>
      <c r="D217" s="1">
        <f t="shared" si="17"/>
        <v>7967.0074755258329</v>
      </c>
      <c r="E217" s="1">
        <f t="shared" si="18"/>
        <v>1360433.6676620848</v>
      </c>
    </row>
    <row r="218" spans="1:5">
      <c r="A218">
        <f t="shared" si="15"/>
        <v>205</v>
      </c>
      <c r="B218" s="1">
        <f t="shared" si="19"/>
        <v>13306.049903583664</v>
      </c>
      <c r="C218" s="1">
        <f t="shared" si="16"/>
        <v>5370.186842221502</v>
      </c>
      <c r="D218" s="1">
        <f t="shared" si="17"/>
        <v>7935.8630613621617</v>
      </c>
      <c r="E218" s="1">
        <f t="shared" si="18"/>
        <v>1355063.4808198633</v>
      </c>
    </row>
    <row r="219" spans="1:5">
      <c r="A219">
        <f t="shared" si="15"/>
        <v>206</v>
      </c>
      <c r="B219" s="1">
        <f t="shared" si="19"/>
        <v>13306.049903583664</v>
      </c>
      <c r="C219" s="1">
        <f t="shared" si="16"/>
        <v>5401.5129321344612</v>
      </c>
      <c r="D219" s="1">
        <f t="shared" si="17"/>
        <v>7904.5369714492026</v>
      </c>
      <c r="E219" s="1">
        <f t="shared" si="18"/>
        <v>1349661.9678877287</v>
      </c>
    </row>
    <row r="220" spans="1:5">
      <c r="A220">
        <f t="shared" si="15"/>
        <v>207</v>
      </c>
      <c r="B220" s="1">
        <f t="shared" si="19"/>
        <v>13306.049903583664</v>
      </c>
      <c r="C220" s="1">
        <f t="shared" si="16"/>
        <v>5433.0217575719125</v>
      </c>
      <c r="D220" s="1">
        <f t="shared" si="17"/>
        <v>7873.0281460117512</v>
      </c>
      <c r="E220" s="1">
        <f t="shared" si="18"/>
        <v>1344228.9461301567</v>
      </c>
    </row>
    <row r="221" spans="1:5">
      <c r="A221">
        <f t="shared" si="15"/>
        <v>208</v>
      </c>
      <c r="B221" s="1">
        <f t="shared" si="19"/>
        <v>13306.049903583664</v>
      </c>
      <c r="C221" s="1">
        <f t="shared" si="16"/>
        <v>5464.7143844910825</v>
      </c>
      <c r="D221" s="1">
        <f t="shared" si="17"/>
        <v>7841.3355190925813</v>
      </c>
      <c r="E221" s="1">
        <f t="shared" si="18"/>
        <v>1338764.2317456657</v>
      </c>
    </row>
    <row r="222" spans="1:5">
      <c r="A222">
        <f t="shared" si="15"/>
        <v>209</v>
      </c>
      <c r="B222" s="1">
        <f t="shared" si="19"/>
        <v>13306.049903583664</v>
      </c>
      <c r="C222" s="1">
        <f t="shared" si="16"/>
        <v>5496.5918850672806</v>
      </c>
      <c r="D222" s="1">
        <f t="shared" si="17"/>
        <v>7809.4580185163832</v>
      </c>
      <c r="E222" s="1">
        <f t="shared" si="18"/>
        <v>1333267.6398605984</v>
      </c>
    </row>
    <row r="223" spans="1:5">
      <c r="A223">
        <f t="shared" si="15"/>
        <v>210</v>
      </c>
      <c r="B223" s="1">
        <f t="shared" si="19"/>
        <v>13306.049903583664</v>
      </c>
      <c r="C223" s="1">
        <f t="shared" si="16"/>
        <v>5528.6553377301725</v>
      </c>
      <c r="D223" s="1">
        <f t="shared" si="17"/>
        <v>7777.3945658534913</v>
      </c>
      <c r="E223" s="1">
        <f t="shared" si="18"/>
        <v>1327738.9845228682</v>
      </c>
    </row>
    <row r="224" spans="1:5">
      <c r="A224">
        <f t="shared" si="15"/>
        <v>211</v>
      </c>
      <c r="B224" s="1">
        <f t="shared" si="19"/>
        <v>13306.049903583664</v>
      </c>
      <c r="C224" s="1">
        <f t="shared" si="16"/>
        <v>5560.9058272002658</v>
      </c>
      <c r="D224" s="1">
        <f t="shared" si="17"/>
        <v>7745.144076383398</v>
      </c>
      <c r="E224" s="1">
        <f t="shared" si="18"/>
        <v>1322178.0786956679</v>
      </c>
    </row>
    <row r="225" spans="1:5">
      <c r="A225">
        <f t="shared" si="15"/>
        <v>212</v>
      </c>
      <c r="B225" s="1">
        <f t="shared" si="19"/>
        <v>13306.049903583664</v>
      </c>
      <c r="C225" s="1">
        <f t="shared" si="16"/>
        <v>5593.3444445256009</v>
      </c>
      <c r="D225" s="1">
        <f t="shared" si="17"/>
        <v>7712.7054590580628</v>
      </c>
      <c r="E225" s="1">
        <f t="shared" si="18"/>
        <v>1316584.7342511422</v>
      </c>
    </row>
    <row r="226" spans="1:5">
      <c r="A226">
        <f t="shared" si="15"/>
        <v>213</v>
      </c>
      <c r="B226" s="1">
        <f t="shared" si="19"/>
        <v>13306.049903583664</v>
      </c>
      <c r="C226" s="1">
        <f t="shared" si="16"/>
        <v>5625.9722871186668</v>
      </c>
      <c r="D226" s="1">
        <f t="shared" si="17"/>
        <v>7680.0776164649969</v>
      </c>
      <c r="E226" s="1">
        <f t="shared" si="18"/>
        <v>1310958.7619640236</v>
      </c>
    </row>
    <row r="227" spans="1:5">
      <c r="A227">
        <f t="shared" si="15"/>
        <v>214</v>
      </c>
      <c r="B227" s="1">
        <f t="shared" si="19"/>
        <v>13306.049903583664</v>
      </c>
      <c r="C227" s="1">
        <f t="shared" si="16"/>
        <v>5658.7904587935254</v>
      </c>
      <c r="D227" s="1">
        <f t="shared" si="17"/>
        <v>7647.2594447901383</v>
      </c>
      <c r="E227" s="1">
        <f t="shared" si="18"/>
        <v>1305299.9715052301</v>
      </c>
    </row>
    <row r="228" spans="1:5">
      <c r="A228">
        <f t="shared" si="15"/>
        <v>215</v>
      </c>
      <c r="B228" s="1">
        <f t="shared" si="19"/>
        <v>13306.049903583664</v>
      </c>
      <c r="C228" s="1">
        <f t="shared" si="16"/>
        <v>5691.8000698031547</v>
      </c>
      <c r="D228" s="1">
        <f t="shared" si="17"/>
        <v>7614.2498337805091</v>
      </c>
      <c r="E228" s="1">
        <f t="shared" si="18"/>
        <v>1299608.1714354269</v>
      </c>
    </row>
    <row r="229" spans="1:5">
      <c r="A229">
        <f t="shared" si="15"/>
        <v>216</v>
      </c>
      <c r="B229" s="1">
        <f t="shared" si="19"/>
        <v>13306.049903583664</v>
      </c>
      <c r="C229" s="1">
        <f t="shared" si="16"/>
        <v>5725.002236877006</v>
      </c>
      <c r="D229" s="1">
        <f t="shared" si="17"/>
        <v>7581.0476667066578</v>
      </c>
      <c r="E229" s="1">
        <f t="shared" si="18"/>
        <v>1293883.1691985498</v>
      </c>
    </row>
    <row r="230" spans="1:5">
      <c r="A230">
        <f t="shared" si="15"/>
        <v>217</v>
      </c>
      <c r="B230" s="1">
        <f t="shared" si="19"/>
        <v>13306.049903583664</v>
      </c>
      <c r="C230" s="1">
        <f t="shared" si="16"/>
        <v>5758.3980832587895</v>
      </c>
      <c r="D230" s="1">
        <f t="shared" si="17"/>
        <v>7547.6518203248743</v>
      </c>
      <c r="E230" s="1">
        <f t="shared" si="18"/>
        <v>1288124.7711152909</v>
      </c>
    </row>
    <row r="231" spans="1:5">
      <c r="A231">
        <f t="shared" si="15"/>
        <v>218</v>
      </c>
      <c r="B231" s="1">
        <f t="shared" si="19"/>
        <v>13306.049903583664</v>
      </c>
      <c r="C231" s="1">
        <f t="shared" si="16"/>
        <v>5791.988738744466</v>
      </c>
      <c r="D231" s="1">
        <f t="shared" si="17"/>
        <v>7514.0611648391978</v>
      </c>
      <c r="E231" s="1">
        <f t="shared" si="18"/>
        <v>1282332.7823765464</v>
      </c>
    </row>
    <row r="232" spans="1:5">
      <c r="A232">
        <f t="shared" si="15"/>
        <v>219</v>
      </c>
      <c r="B232" s="1">
        <f t="shared" si="19"/>
        <v>13306.049903583664</v>
      </c>
      <c r="C232" s="1">
        <f t="shared" si="16"/>
        <v>5825.775339720476</v>
      </c>
      <c r="D232" s="1">
        <f t="shared" si="17"/>
        <v>7480.2745638631877</v>
      </c>
      <c r="E232" s="1">
        <f t="shared" si="18"/>
        <v>1276507.0070368259</v>
      </c>
    </row>
    <row r="233" spans="1:5">
      <c r="A233">
        <f t="shared" si="15"/>
        <v>220</v>
      </c>
      <c r="B233" s="1">
        <f t="shared" si="19"/>
        <v>13306.049903583664</v>
      </c>
      <c r="C233" s="1">
        <f t="shared" si="16"/>
        <v>5859.7590292021796</v>
      </c>
      <c r="D233" s="1">
        <f t="shared" si="17"/>
        <v>7446.2908743814842</v>
      </c>
      <c r="E233" s="1">
        <f t="shared" si="18"/>
        <v>1270647.2480076237</v>
      </c>
    </row>
    <row r="234" spans="1:5">
      <c r="A234">
        <f t="shared" si="15"/>
        <v>221</v>
      </c>
      <c r="B234" s="1">
        <f t="shared" si="19"/>
        <v>13306.049903583664</v>
      </c>
      <c r="C234" s="1">
        <f t="shared" si="16"/>
        <v>5893.940956872525</v>
      </c>
      <c r="D234" s="1">
        <f t="shared" si="17"/>
        <v>7412.1089467111387</v>
      </c>
      <c r="E234" s="1">
        <f t="shared" si="18"/>
        <v>1264753.3070507513</v>
      </c>
    </row>
    <row r="235" spans="1:5">
      <c r="A235">
        <f t="shared" si="15"/>
        <v>222</v>
      </c>
      <c r="B235" s="1">
        <f t="shared" si="19"/>
        <v>13306.049903583664</v>
      </c>
      <c r="C235" s="1">
        <f t="shared" si="16"/>
        <v>5928.3222791209473</v>
      </c>
      <c r="D235" s="1">
        <f t="shared" si="17"/>
        <v>7377.7276244627164</v>
      </c>
      <c r="E235" s="1">
        <f t="shared" si="18"/>
        <v>1258824.9847716303</v>
      </c>
    </row>
    <row r="236" spans="1:5">
      <c r="A236">
        <f t="shared" si="15"/>
        <v>223</v>
      </c>
      <c r="B236" s="1">
        <f t="shared" si="19"/>
        <v>13306.049903583664</v>
      </c>
      <c r="C236" s="1">
        <f t="shared" si="16"/>
        <v>5962.9041590824872</v>
      </c>
      <c r="D236" s="1">
        <f t="shared" si="17"/>
        <v>7343.1457445011765</v>
      </c>
      <c r="E236" s="1">
        <f t="shared" si="18"/>
        <v>1252862.0806125477</v>
      </c>
    </row>
    <row r="237" spans="1:5">
      <c r="A237">
        <f t="shared" si="15"/>
        <v>224</v>
      </c>
      <c r="B237" s="1">
        <f t="shared" si="19"/>
        <v>13306.049903583664</v>
      </c>
      <c r="C237" s="1">
        <f t="shared" si="16"/>
        <v>5997.6877666771352</v>
      </c>
      <c r="D237" s="1">
        <f t="shared" si="17"/>
        <v>7308.3621369065286</v>
      </c>
      <c r="E237" s="1">
        <f t="shared" si="18"/>
        <v>1246864.3928458705</v>
      </c>
    </row>
    <row r="238" spans="1:5">
      <c r="A238">
        <f t="shared" si="15"/>
        <v>225</v>
      </c>
      <c r="B238" s="1">
        <f t="shared" si="19"/>
        <v>13306.049903583664</v>
      </c>
      <c r="C238" s="1">
        <f t="shared" si="16"/>
        <v>6032.6742786494187</v>
      </c>
      <c r="D238" s="1">
        <f t="shared" si="17"/>
        <v>7273.375624934245</v>
      </c>
      <c r="E238" s="1">
        <f t="shared" si="18"/>
        <v>1240831.718567221</v>
      </c>
    </row>
    <row r="239" spans="1:5">
      <c r="A239">
        <f t="shared" si="15"/>
        <v>226</v>
      </c>
      <c r="B239" s="1">
        <f t="shared" si="19"/>
        <v>13306.049903583664</v>
      </c>
      <c r="C239" s="1">
        <f t="shared" si="16"/>
        <v>6067.8648786082076</v>
      </c>
      <c r="D239" s="1">
        <f t="shared" si="17"/>
        <v>7238.1850249754561</v>
      </c>
      <c r="E239" s="1">
        <f t="shared" si="18"/>
        <v>1234763.8536886128</v>
      </c>
    </row>
    <row r="240" spans="1:5">
      <c r="A240">
        <f t="shared" si="15"/>
        <v>227</v>
      </c>
      <c r="B240" s="1">
        <f t="shared" si="19"/>
        <v>13306.049903583664</v>
      </c>
      <c r="C240" s="1">
        <f t="shared" si="16"/>
        <v>6103.2607570667551</v>
      </c>
      <c r="D240" s="1">
        <f t="shared" si="17"/>
        <v>7202.7891465169087</v>
      </c>
      <c r="E240" s="1">
        <f t="shared" si="18"/>
        <v>1228660.592931546</v>
      </c>
    </row>
    <row r="241" spans="1:5">
      <c r="A241">
        <f t="shared" si="15"/>
        <v>228</v>
      </c>
      <c r="B241" s="1">
        <f t="shared" si="19"/>
        <v>13306.049903583664</v>
      </c>
      <c r="C241" s="1">
        <f t="shared" si="16"/>
        <v>6138.8631114829786</v>
      </c>
      <c r="D241" s="1">
        <f t="shared" si="17"/>
        <v>7167.1867921006851</v>
      </c>
      <c r="E241" s="1">
        <f t="shared" si="18"/>
        <v>1222521.7298200631</v>
      </c>
    </row>
    <row r="242" spans="1:5">
      <c r="A242">
        <f t="shared" si="15"/>
        <v>229</v>
      </c>
      <c r="B242" s="1">
        <f t="shared" si="19"/>
        <v>13306.049903583664</v>
      </c>
      <c r="C242" s="1">
        <f t="shared" si="16"/>
        <v>6174.6731462999624</v>
      </c>
      <c r="D242" s="1">
        <f t="shared" si="17"/>
        <v>7131.3767572837014</v>
      </c>
      <c r="E242" s="1">
        <f t="shared" si="18"/>
        <v>1216347.0566737631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13306.049903583664</v>
      </c>
      <c r="C243" s="1">
        <f t="shared" ref="C243:C263" si="21">IF(A243="","",B243-D243)</f>
        <v>6210.6920729867124</v>
      </c>
      <c r="D243" s="1">
        <f t="shared" ref="D243:D263" si="22">IF(A243="","",(E242*($B$6/$B$8)))</f>
        <v>7095.3578305969513</v>
      </c>
      <c r="E243" s="1">
        <f t="shared" ref="E243:E263" si="23">IF(A243="","",E242-C243)</f>
        <v>1210136.3646007765</v>
      </c>
    </row>
    <row r="244" spans="1:5">
      <c r="A244">
        <f t="shared" si="20"/>
        <v>231</v>
      </c>
      <c r="B244" s="1">
        <f t="shared" si="19"/>
        <v>13306.049903583664</v>
      </c>
      <c r="C244" s="1">
        <f t="shared" si="21"/>
        <v>6246.9211100791345</v>
      </c>
      <c r="D244" s="1">
        <f t="shared" si="22"/>
        <v>7059.1287935045293</v>
      </c>
      <c r="E244" s="1">
        <f t="shared" si="23"/>
        <v>1203889.4434906973</v>
      </c>
    </row>
    <row r="245" spans="1:5">
      <c r="A245">
        <f t="shared" si="20"/>
        <v>232</v>
      </c>
      <c r="B245" s="1">
        <f t="shared" si="19"/>
        <v>13306.049903583664</v>
      </c>
      <c r="C245" s="1">
        <f t="shared" si="21"/>
        <v>6283.3614832212625</v>
      </c>
      <c r="D245" s="1">
        <f t="shared" si="22"/>
        <v>7022.6884203624013</v>
      </c>
      <c r="E245" s="1">
        <f t="shared" si="23"/>
        <v>1197606.0820074761</v>
      </c>
    </row>
    <row r="246" spans="1:5">
      <c r="A246">
        <f t="shared" si="20"/>
        <v>233</v>
      </c>
      <c r="B246" s="1">
        <f t="shared" si="19"/>
        <v>13306.049903583664</v>
      </c>
      <c r="C246" s="1">
        <f t="shared" si="21"/>
        <v>6320.0144252067194</v>
      </c>
      <c r="D246" s="1">
        <f t="shared" si="22"/>
        <v>6986.0354783769444</v>
      </c>
      <c r="E246" s="1">
        <f t="shared" si="23"/>
        <v>1191286.0675822694</v>
      </c>
    </row>
    <row r="247" spans="1:5">
      <c r="A247">
        <f t="shared" si="20"/>
        <v>234</v>
      </c>
      <c r="B247" s="1">
        <f t="shared" si="19"/>
        <v>13306.049903583664</v>
      </c>
      <c r="C247" s="1">
        <f t="shared" si="21"/>
        <v>6356.8811760204253</v>
      </c>
      <c r="D247" s="1">
        <f t="shared" si="22"/>
        <v>6949.1687275632385</v>
      </c>
      <c r="E247" s="1">
        <f t="shared" si="23"/>
        <v>1184929.1864062489</v>
      </c>
    </row>
    <row r="248" spans="1:5">
      <c r="A248">
        <f t="shared" si="20"/>
        <v>235</v>
      </c>
      <c r="B248" s="1">
        <f t="shared" si="19"/>
        <v>13306.049903583664</v>
      </c>
      <c r="C248" s="1">
        <f t="shared" si="21"/>
        <v>6393.9629828805446</v>
      </c>
      <c r="D248" s="1">
        <f t="shared" si="22"/>
        <v>6912.0869207031192</v>
      </c>
      <c r="E248" s="1">
        <f t="shared" si="23"/>
        <v>1178535.2234233683</v>
      </c>
    </row>
    <row r="249" spans="1:5">
      <c r="A249">
        <f t="shared" si="20"/>
        <v>236</v>
      </c>
      <c r="B249" s="1">
        <f t="shared" si="19"/>
        <v>13306.049903583664</v>
      </c>
      <c r="C249" s="1">
        <f t="shared" si="21"/>
        <v>6431.2611002806816</v>
      </c>
      <c r="D249" s="1">
        <f t="shared" si="22"/>
        <v>6874.7888033029822</v>
      </c>
      <c r="E249" s="1">
        <f t="shared" si="23"/>
        <v>1172103.9623230875</v>
      </c>
    </row>
    <row r="250" spans="1:5">
      <c r="A250">
        <f t="shared" si="20"/>
        <v>237</v>
      </c>
      <c r="B250" s="1">
        <f t="shared" si="19"/>
        <v>13306.049903583664</v>
      </c>
      <c r="C250" s="1">
        <f t="shared" si="21"/>
        <v>6468.7767900323197</v>
      </c>
      <c r="D250" s="1">
        <f t="shared" si="22"/>
        <v>6837.2731135513441</v>
      </c>
      <c r="E250" s="1">
        <f t="shared" si="23"/>
        <v>1165635.1855330551</v>
      </c>
    </row>
    <row r="251" spans="1:5">
      <c r="A251">
        <f t="shared" si="20"/>
        <v>238</v>
      </c>
      <c r="B251" s="1">
        <f t="shared" si="19"/>
        <v>13306.049903583664</v>
      </c>
      <c r="C251" s="1">
        <f t="shared" si="21"/>
        <v>6506.5113213075083</v>
      </c>
      <c r="D251" s="1">
        <f t="shared" si="22"/>
        <v>6799.5385822761555</v>
      </c>
      <c r="E251" s="1">
        <f t="shared" si="23"/>
        <v>1159128.6742117477</v>
      </c>
    </row>
    <row r="252" spans="1:5">
      <c r="A252">
        <f t="shared" si="20"/>
        <v>239</v>
      </c>
      <c r="B252" s="1">
        <f t="shared" si="19"/>
        <v>13306.049903583664</v>
      </c>
      <c r="C252" s="1">
        <f t="shared" si="21"/>
        <v>6544.465970681802</v>
      </c>
      <c r="D252" s="1">
        <f t="shared" si="22"/>
        <v>6761.5839329018618</v>
      </c>
      <c r="E252" s="1">
        <f t="shared" si="23"/>
        <v>1152584.208241066</v>
      </c>
    </row>
    <row r="253" spans="1:5">
      <c r="A253">
        <f t="shared" si="20"/>
        <v>240</v>
      </c>
      <c r="B253" s="1">
        <f t="shared" si="19"/>
        <v>13306.049903583664</v>
      </c>
      <c r="C253" s="1">
        <f t="shared" si="21"/>
        <v>6582.6420221774451</v>
      </c>
      <c r="D253" s="1">
        <f t="shared" si="22"/>
        <v>6723.4078814062186</v>
      </c>
      <c r="E253" s="1">
        <f t="shared" si="23"/>
        <v>1146001.5662188886</v>
      </c>
    </row>
    <row r="254" spans="1:5">
      <c r="A254">
        <f t="shared" si="20"/>
        <v>241</v>
      </c>
      <c r="B254" s="1">
        <f t="shared" si="19"/>
        <v>13306.049903583664</v>
      </c>
      <c r="C254" s="1">
        <f t="shared" si="21"/>
        <v>6621.040767306813</v>
      </c>
      <c r="D254" s="1">
        <f t="shared" si="22"/>
        <v>6685.0091362768508</v>
      </c>
      <c r="E254" s="1">
        <f t="shared" si="23"/>
        <v>1139380.5254515817</v>
      </c>
    </row>
    <row r="255" spans="1:5">
      <c r="A255">
        <f t="shared" si="20"/>
        <v>242</v>
      </c>
      <c r="B255" s="1">
        <f t="shared" si="19"/>
        <v>13306.049903583664</v>
      </c>
      <c r="C255" s="1">
        <f t="shared" si="21"/>
        <v>6659.6635051161038</v>
      </c>
      <c r="D255" s="1">
        <f t="shared" si="22"/>
        <v>6646.38639846756</v>
      </c>
      <c r="E255" s="1">
        <f t="shared" si="23"/>
        <v>1132720.8619464657</v>
      </c>
    </row>
    <row r="256" spans="1:5">
      <c r="A256">
        <f t="shared" si="20"/>
        <v>243</v>
      </c>
      <c r="B256" s="1">
        <f t="shared" si="19"/>
        <v>13306.049903583664</v>
      </c>
      <c r="C256" s="1">
        <f t="shared" si="21"/>
        <v>6698.5115422292802</v>
      </c>
      <c r="D256" s="1">
        <f t="shared" si="22"/>
        <v>6607.5383613543836</v>
      </c>
      <c r="E256" s="1">
        <f t="shared" si="23"/>
        <v>1126022.3504042365</v>
      </c>
    </row>
    <row r="257" spans="1:5">
      <c r="A257">
        <f t="shared" si="20"/>
        <v>244</v>
      </c>
      <c r="B257" s="1">
        <f t="shared" si="19"/>
        <v>13306.049903583664</v>
      </c>
      <c r="C257" s="1">
        <f t="shared" si="21"/>
        <v>6737.5861928922841</v>
      </c>
      <c r="D257" s="1">
        <f t="shared" si="22"/>
        <v>6568.4637106913797</v>
      </c>
      <c r="E257" s="1">
        <f t="shared" si="23"/>
        <v>1119284.7642113441</v>
      </c>
    </row>
    <row r="258" spans="1:5">
      <c r="A258">
        <f t="shared" si="20"/>
        <v>245</v>
      </c>
      <c r="B258" s="1">
        <f t="shared" si="19"/>
        <v>13306.049903583664</v>
      </c>
      <c r="C258" s="1">
        <f t="shared" si="21"/>
        <v>6776.8887790174895</v>
      </c>
      <c r="D258" s="1">
        <f t="shared" si="22"/>
        <v>6529.1611245661743</v>
      </c>
      <c r="E258" s="1">
        <f t="shared" si="23"/>
        <v>1112507.8754323267</v>
      </c>
    </row>
    <row r="259" spans="1:5">
      <c r="A259">
        <f t="shared" si="20"/>
        <v>246</v>
      </c>
      <c r="B259" s="1">
        <f t="shared" si="19"/>
        <v>13306.049903583664</v>
      </c>
      <c r="C259" s="1">
        <f t="shared" si="21"/>
        <v>6816.4206302284247</v>
      </c>
      <c r="D259" s="1">
        <f t="shared" si="22"/>
        <v>6489.6292733552391</v>
      </c>
      <c r="E259" s="1">
        <f t="shared" si="23"/>
        <v>1105691.4548020982</v>
      </c>
    </row>
    <row r="260" spans="1:5">
      <c r="A260">
        <f t="shared" si="20"/>
        <v>247</v>
      </c>
      <c r="B260" s="1">
        <f t="shared" si="19"/>
        <v>13306.049903583664</v>
      </c>
      <c r="C260" s="1">
        <f t="shared" si="21"/>
        <v>6856.183083904757</v>
      </c>
      <c r="D260" s="1">
        <f t="shared" si="22"/>
        <v>6449.8668196789067</v>
      </c>
      <c r="E260" s="1">
        <f t="shared" si="23"/>
        <v>1098835.2717181935</v>
      </c>
    </row>
    <row r="261" spans="1:5">
      <c r="A261">
        <f t="shared" si="20"/>
        <v>248</v>
      </c>
      <c r="B261" s="1">
        <f t="shared" si="19"/>
        <v>13306.049903583664</v>
      </c>
      <c r="C261" s="1">
        <f t="shared" si="21"/>
        <v>6896.1774852275348</v>
      </c>
      <c r="D261" s="1">
        <f t="shared" si="22"/>
        <v>6409.8724183561289</v>
      </c>
      <c r="E261" s="1">
        <f t="shared" si="23"/>
        <v>1091939.094232966</v>
      </c>
    </row>
    <row r="262" spans="1:5">
      <c r="A262">
        <f t="shared" si="20"/>
        <v>249</v>
      </c>
      <c r="B262" s="1">
        <f t="shared" si="19"/>
        <v>13306.049903583664</v>
      </c>
      <c r="C262" s="1">
        <f t="shared" si="21"/>
        <v>6936.4051872246955</v>
      </c>
      <c r="D262" s="1">
        <f t="shared" si="22"/>
        <v>6369.6447163589683</v>
      </c>
      <c r="E262" s="1">
        <f t="shared" si="23"/>
        <v>1085002.6890457412</v>
      </c>
    </row>
    <row r="263" spans="1:5">
      <c r="A263">
        <f t="shared" si="20"/>
        <v>250</v>
      </c>
      <c r="B263" s="1">
        <f t="shared" si="19"/>
        <v>13306.049903583664</v>
      </c>
      <c r="C263" s="1">
        <f t="shared" si="21"/>
        <v>6976.8675508168399</v>
      </c>
      <c r="D263" s="1">
        <f t="shared" si="22"/>
        <v>6329.1823527668239</v>
      </c>
      <c r="E263" s="1">
        <f t="shared" si="23"/>
        <v>1078025.8214949244</v>
      </c>
    </row>
    <row r="264" spans="1:5">
      <c r="A264">
        <f t="shared" ref="A264:A327" si="24">IF(($B$7*$B$8&gt;A263),IF(($B$7*$B$8)=A263,"",A263+1),"")</f>
        <v>251</v>
      </c>
      <c r="B264" s="1">
        <f t="shared" si="19"/>
        <v>13306.049903583664</v>
      </c>
      <c r="C264" s="1">
        <f t="shared" ref="C264:C327" si="25">IF(A264="","",B264-D264)</f>
        <v>7017.5659448632714</v>
      </c>
      <c r="D264" s="1">
        <f t="shared" ref="D264:D327" si="26">IF(A264="","",(E263*($B$6/$B$8)))</f>
        <v>6288.4839587203924</v>
      </c>
      <c r="E264" s="1">
        <f t="shared" ref="E264:E327" si="27">IF(A264="","",E263-C264)</f>
        <v>1071008.2555500611</v>
      </c>
    </row>
    <row r="265" spans="1:5">
      <c r="A265">
        <f t="shared" si="24"/>
        <v>252</v>
      </c>
      <c r="B265" s="1">
        <f t="shared" si="19"/>
        <v>13306.049903583664</v>
      </c>
      <c r="C265" s="1">
        <f t="shared" si="25"/>
        <v>7058.5017462083069</v>
      </c>
      <c r="D265" s="1">
        <f t="shared" si="26"/>
        <v>6247.5481573753568</v>
      </c>
      <c r="E265" s="1">
        <f t="shared" si="27"/>
        <v>1063949.7538038527</v>
      </c>
    </row>
    <row r="266" spans="1:5">
      <c r="A266">
        <f t="shared" si="24"/>
        <v>253</v>
      </c>
      <c r="B266" s="1">
        <f t="shared" si="19"/>
        <v>13306.049903583664</v>
      </c>
      <c r="C266" s="1">
        <f t="shared" si="25"/>
        <v>7099.6763397278564</v>
      </c>
      <c r="D266" s="1">
        <f t="shared" si="26"/>
        <v>6206.3735638558073</v>
      </c>
      <c r="E266" s="1">
        <f t="shared" si="27"/>
        <v>1056850.0774641249</v>
      </c>
    </row>
    <row r="267" spans="1:5">
      <c r="A267">
        <f t="shared" si="24"/>
        <v>254</v>
      </c>
      <c r="B267" s="1">
        <f t="shared" si="19"/>
        <v>13306.049903583664</v>
      </c>
      <c r="C267" s="1">
        <f t="shared" si="25"/>
        <v>7141.0911183762682</v>
      </c>
      <c r="D267" s="1">
        <f t="shared" si="26"/>
        <v>6164.9587852073955</v>
      </c>
      <c r="E267" s="1">
        <f t="shared" si="27"/>
        <v>1049708.9863457486</v>
      </c>
    </row>
    <row r="268" spans="1:5">
      <c r="A268">
        <f t="shared" si="24"/>
        <v>255</v>
      </c>
      <c r="B268" s="1">
        <f t="shared" si="19"/>
        <v>13306.049903583664</v>
      </c>
      <c r="C268" s="1">
        <f t="shared" si="25"/>
        <v>7182.7474832334628</v>
      </c>
      <c r="D268" s="1">
        <f t="shared" si="26"/>
        <v>6123.3024203502009</v>
      </c>
      <c r="E268" s="1">
        <f t="shared" si="27"/>
        <v>1042526.2388625152</v>
      </c>
    </row>
    <row r="269" spans="1:5">
      <c r="A269">
        <f t="shared" si="24"/>
        <v>256</v>
      </c>
      <c r="B269" s="1">
        <f t="shared" si="19"/>
        <v>13306.049903583664</v>
      </c>
      <c r="C269" s="1">
        <f t="shared" si="25"/>
        <v>7224.6468435523248</v>
      </c>
      <c r="D269" s="1">
        <f t="shared" si="26"/>
        <v>6081.403060031339</v>
      </c>
      <c r="E269" s="1">
        <f t="shared" si="27"/>
        <v>1035301.5920189628</v>
      </c>
    </row>
    <row r="270" spans="1:5">
      <c r="A270">
        <f t="shared" si="24"/>
        <v>257</v>
      </c>
      <c r="B270" s="1">
        <f t="shared" si="19"/>
        <v>13306.049903583664</v>
      </c>
      <c r="C270" s="1">
        <f t="shared" si="25"/>
        <v>7266.7906168063801</v>
      </c>
      <c r="D270" s="1">
        <f t="shared" si="26"/>
        <v>6039.2592867772837</v>
      </c>
      <c r="E270" s="1">
        <f t="shared" si="27"/>
        <v>1028034.8014021565</v>
      </c>
    </row>
    <row r="271" spans="1:5">
      <c r="A271">
        <f t="shared" si="24"/>
        <v>258</v>
      </c>
      <c r="B271" s="1">
        <f t="shared" si="19"/>
        <v>13306.049903583664</v>
      </c>
      <c r="C271" s="1">
        <f t="shared" si="25"/>
        <v>7309.1802287377504</v>
      </c>
      <c r="D271" s="1">
        <f t="shared" si="26"/>
        <v>5996.8696748459133</v>
      </c>
      <c r="E271" s="1">
        <f t="shared" si="27"/>
        <v>1020725.6211734187</v>
      </c>
    </row>
    <row r="272" spans="1:5">
      <c r="A272">
        <f t="shared" si="24"/>
        <v>259</v>
      </c>
      <c r="B272" s="1">
        <f t="shared" ref="B272:B335" si="28">IF(A272="","",$B$14)</f>
        <v>13306.049903583664</v>
      </c>
      <c r="C272" s="1">
        <f t="shared" si="25"/>
        <v>7351.8171134053873</v>
      </c>
      <c r="D272" s="1">
        <f t="shared" si="26"/>
        <v>5954.2327901782764</v>
      </c>
      <c r="E272" s="1">
        <f t="shared" si="27"/>
        <v>1013373.8040600133</v>
      </c>
    </row>
    <row r="273" spans="1:5">
      <c r="A273">
        <f t="shared" si="24"/>
        <v>260</v>
      </c>
      <c r="B273" s="1">
        <f t="shared" si="28"/>
        <v>13306.049903583664</v>
      </c>
      <c r="C273" s="1">
        <f t="shared" si="25"/>
        <v>7394.7027132335861</v>
      </c>
      <c r="D273" s="1">
        <f t="shared" si="26"/>
        <v>5911.3471903500777</v>
      </c>
      <c r="E273" s="1">
        <f t="shared" si="27"/>
        <v>1005979.1013467797</v>
      </c>
    </row>
    <row r="274" spans="1:5">
      <c r="A274">
        <f t="shared" si="24"/>
        <v>261</v>
      </c>
      <c r="B274" s="1">
        <f t="shared" si="28"/>
        <v>13306.049903583664</v>
      </c>
      <c r="C274" s="1">
        <f t="shared" si="25"/>
        <v>7437.8384790607815</v>
      </c>
      <c r="D274" s="1">
        <f t="shared" si="26"/>
        <v>5868.2114245228822</v>
      </c>
      <c r="E274" s="1">
        <f t="shared" si="27"/>
        <v>998541.26286771894</v>
      </c>
    </row>
    <row r="275" spans="1:5">
      <c r="A275">
        <f t="shared" si="24"/>
        <v>262</v>
      </c>
      <c r="B275" s="1">
        <f t="shared" si="28"/>
        <v>13306.049903583664</v>
      </c>
      <c r="C275" s="1">
        <f t="shared" si="25"/>
        <v>7481.2258701886367</v>
      </c>
      <c r="D275" s="1">
        <f t="shared" si="26"/>
        <v>5824.8240333950271</v>
      </c>
      <c r="E275" s="1">
        <f t="shared" si="27"/>
        <v>991060.03699753026</v>
      </c>
    </row>
    <row r="276" spans="1:5">
      <c r="A276">
        <f t="shared" si="24"/>
        <v>263</v>
      </c>
      <c r="B276" s="1">
        <f t="shared" si="28"/>
        <v>13306.049903583664</v>
      </c>
      <c r="C276" s="1">
        <f t="shared" si="25"/>
        <v>7524.866354431404</v>
      </c>
      <c r="D276" s="1">
        <f t="shared" si="26"/>
        <v>5781.1835491522597</v>
      </c>
      <c r="E276" s="1">
        <f t="shared" si="27"/>
        <v>983535.17064309889</v>
      </c>
    </row>
    <row r="277" spans="1:5">
      <c r="A277">
        <f t="shared" si="24"/>
        <v>264</v>
      </c>
      <c r="B277" s="1">
        <f t="shared" si="28"/>
        <v>13306.049903583664</v>
      </c>
      <c r="C277" s="1">
        <f t="shared" si="25"/>
        <v>7568.7614081655865</v>
      </c>
      <c r="D277" s="1">
        <f t="shared" si="26"/>
        <v>5737.2884954180772</v>
      </c>
      <c r="E277" s="1">
        <f t="shared" si="27"/>
        <v>975966.40923493332</v>
      </c>
    </row>
    <row r="278" spans="1:5">
      <c r="A278">
        <f t="shared" si="24"/>
        <v>265</v>
      </c>
      <c r="B278" s="1">
        <f t="shared" si="28"/>
        <v>13306.049903583664</v>
      </c>
      <c r="C278" s="1">
        <f t="shared" si="25"/>
        <v>7612.9125163798853</v>
      </c>
      <c r="D278" s="1">
        <f t="shared" si="26"/>
        <v>5693.1373872037784</v>
      </c>
      <c r="E278" s="1">
        <f t="shared" si="27"/>
        <v>968353.49671855348</v>
      </c>
    </row>
    <row r="279" spans="1:5">
      <c r="A279">
        <f t="shared" si="24"/>
        <v>266</v>
      </c>
      <c r="B279" s="1">
        <f t="shared" si="28"/>
        <v>13306.049903583664</v>
      </c>
      <c r="C279" s="1">
        <f t="shared" si="25"/>
        <v>7657.3211727254347</v>
      </c>
      <c r="D279" s="1">
        <f t="shared" si="26"/>
        <v>5648.728730858229</v>
      </c>
      <c r="E279" s="1">
        <f t="shared" si="27"/>
        <v>960696.17554582807</v>
      </c>
    </row>
    <row r="280" spans="1:5">
      <c r="A280">
        <f t="shared" si="24"/>
        <v>267</v>
      </c>
      <c r="B280" s="1">
        <f t="shared" si="28"/>
        <v>13306.049903583664</v>
      </c>
      <c r="C280" s="1">
        <f t="shared" si="25"/>
        <v>7701.9888795663328</v>
      </c>
      <c r="D280" s="1">
        <f t="shared" si="26"/>
        <v>5604.061024017331</v>
      </c>
      <c r="E280" s="1">
        <f t="shared" si="27"/>
        <v>952994.18666626175</v>
      </c>
    </row>
    <row r="281" spans="1:5">
      <c r="A281">
        <f t="shared" si="24"/>
        <v>268</v>
      </c>
      <c r="B281" s="1">
        <f t="shared" si="28"/>
        <v>13306.049903583664</v>
      </c>
      <c r="C281" s="1">
        <f t="shared" si="25"/>
        <v>7746.9171480304703</v>
      </c>
      <c r="D281" s="1">
        <f t="shared" si="26"/>
        <v>5559.1327555531934</v>
      </c>
      <c r="E281" s="1">
        <f t="shared" si="27"/>
        <v>945247.26951823127</v>
      </c>
    </row>
    <row r="282" spans="1:5">
      <c r="A282">
        <f t="shared" si="24"/>
        <v>269</v>
      </c>
      <c r="B282" s="1">
        <f t="shared" si="28"/>
        <v>13306.049903583664</v>
      </c>
      <c r="C282" s="1">
        <f t="shared" si="25"/>
        <v>7792.1074980606481</v>
      </c>
      <c r="D282" s="1">
        <f t="shared" si="26"/>
        <v>5513.9424055230156</v>
      </c>
      <c r="E282" s="1">
        <f t="shared" si="27"/>
        <v>937455.1620201706</v>
      </c>
    </row>
    <row r="283" spans="1:5">
      <c r="A283">
        <f t="shared" si="24"/>
        <v>270</v>
      </c>
      <c r="B283" s="1">
        <f t="shared" si="28"/>
        <v>13306.049903583664</v>
      </c>
      <c r="C283" s="1">
        <f t="shared" si="25"/>
        <v>7837.5614584660016</v>
      </c>
      <c r="D283" s="1">
        <f t="shared" si="26"/>
        <v>5468.4884451176622</v>
      </c>
      <c r="E283" s="1">
        <f t="shared" si="27"/>
        <v>929617.6005617046</v>
      </c>
    </row>
    <row r="284" spans="1:5">
      <c r="A284">
        <f t="shared" si="24"/>
        <v>271</v>
      </c>
      <c r="B284" s="1">
        <f t="shared" si="28"/>
        <v>13306.049903583664</v>
      </c>
      <c r="C284" s="1">
        <f t="shared" si="25"/>
        <v>7883.2805669737199</v>
      </c>
      <c r="D284" s="1">
        <f t="shared" si="26"/>
        <v>5422.7693366099438</v>
      </c>
      <c r="E284" s="1">
        <f t="shared" si="27"/>
        <v>921734.31999473087</v>
      </c>
    </row>
    <row r="285" spans="1:5">
      <c r="A285">
        <f t="shared" si="24"/>
        <v>272</v>
      </c>
      <c r="B285" s="1">
        <f t="shared" si="28"/>
        <v>13306.049903583664</v>
      </c>
      <c r="C285" s="1">
        <f t="shared" si="25"/>
        <v>7929.2663702810669</v>
      </c>
      <c r="D285" s="1">
        <f t="shared" si="26"/>
        <v>5376.7835333025969</v>
      </c>
      <c r="E285" s="1">
        <f t="shared" si="27"/>
        <v>913805.05362444976</v>
      </c>
    </row>
    <row r="286" spans="1:5">
      <c r="A286">
        <f t="shared" si="24"/>
        <v>273</v>
      </c>
      <c r="B286" s="1">
        <f t="shared" si="28"/>
        <v>13306.049903583664</v>
      </c>
      <c r="C286" s="1">
        <f t="shared" si="25"/>
        <v>7975.5204241077063</v>
      </c>
      <c r="D286" s="1">
        <f t="shared" si="26"/>
        <v>5330.5294794759575</v>
      </c>
      <c r="E286" s="1">
        <f t="shared" si="27"/>
        <v>905829.53320034209</v>
      </c>
    </row>
    <row r="287" spans="1:5">
      <c r="A287">
        <f t="shared" si="24"/>
        <v>274</v>
      </c>
      <c r="B287" s="1">
        <f t="shared" si="28"/>
        <v>13306.049903583664</v>
      </c>
      <c r="C287" s="1">
        <f t="shared" si="25"/>
        <v>8022.0442932483347</v>
      </c>
      <c r="D287" s="1">
        <f t="shared" si="26"/>
        <v>5284.005610335329</v>
      </c>
      <c r="E287" s="1">
        <f t="shared" si="27"/>
        <v>897807.48890709376</v>
      </c>
    </row>
    <row r="288" spans="1:5">
      <c r="A288">
        <f t="shared" si="24"/>
        <v>275</v>
      </c>
      <c r="B288" s="1">
        <f t="shared" si="28"/>
        <v>13306.049903583664</v>
      </c>
      <c r="C288" s="1">
        <f t="shared" si="25"/>
        <v>8068.8395516256169</v>
      </c>
      <c r="D288" s="1">
        <f t="shared" si="26"/>
        <v>5237.2103519580469</v>
      </c>
      <c r="E288" s="1">
        <f t="shared" si="27"/>
        <v>889738.64935546811</v>
      </c>
    </row>
    <row r="289" spans="1:5">
      <c r="A289">
        <f t="shared" si="24"/>
        <v>276</v>
      </c>
      <c r="B289" s="1">
        <f t="shared" si="28"/>
        <v>13306.049903583664</v>
      </c>
      <c r="C289" s="1">
        <f t="shared" si="25"/>
        <v>8115.9077823434327</v>
      </c>
      <c r="D289" s="1">
        <f t="shared" si="26"/>
        <v>5190.1421212402311</v>
      </c>
      <c r="E289" s="1">
        <f t="shared" si="27"/>
        <v>881622.74157312466</v>
      </c>
    </row>
    <row r="290" spans="1:5">
      <c r="A290">
        <f t="shared" si="24"/>
        <v>277</v>
      </c>
      <c r="B290" s="1">
        <f t="shared" si="28"/>
        <v>13306.049903583664</v>
      </c>
      <c r="C290" s="1">
        <f t="shared" si="25"/>
        <v>8163.2505777404367</v>
      </c>
      <c r="D290" s="1">
        <f t="shared" si="26"/>
        <v>5142.7993258432271</v>
      </c>
      <c r="E290" s="1">
        <f t="shared" si="27"/>
        <v>873459.49099538417</v>
      </c>
    </row>
    <row r="291" spans="1:5">
      <c r="A291">
        <f t="shared" si="24"/>
        <v>278</v>
      </c>
      <c r="B291" s="1">
        <f t="shared" si="28"/>
        <v>13306.049903583664</v>
      </c>
      <c r="C291" s="1">
        <f t="shared" si="25"/>
        <v>8210.8695394439237</v>
      </c>
      <c r="D291" s="1">
        <f t="shared" si="26"/>
        <v>5095.180364139741</v>
      </c>
      <c r="E291" s="1">
        <f t="shared" si="27"/>
        <v>865248.6214559403</v>
      </c>
    </row>
    <row r="292" spans="1:5">
      <c r="A292">
        <f t="shared" si="24"/>
        <v>279</v>
      </c>
      <c r="B292" s="1">
        <f t="shared" si="28"/>
        <v>13306.049903583664</v>
      </c>
      <c r="C292" s="1">
        <f t="shared" si="25"/>
        <v>8258.7662784240129</v>
      </c>
      <c r="D292" s="1">
        <f t="shared" si="26"/>
        <v>5047.2836251596518</v>
      </c>
      <c r="E292" s="1">
        <f t="shared" si="27"/>
        <v>856989.85517751623</v>
      </c>
    </row>
    <row r="293" spans="1:5">
      <c r="A293">
        <f t="shared" si="24"/>
        <v>280</v>
      </c>
      <c r="B293" s="1">
        <f t="shared" si="28"/>
        <v>13306.049903583664</v>
      </c>
      <c r="C293" s="1">
        <f t="shared" si="25"/>
        <v>8306.9424150481518</v>
      </c>
      <c r="D293" s="1">
        <f t="shared" si="26"/>
        <v>4999.1074885355119</v>
      </c>
      <c r="E293" s="1">
        <f t="shared" si="27"/>
        <v>848682.9127624681</v>
      </c>
    </row>
    <row r="294" spans="1:5">
      <c r="A294">
        <f t="shared" si="24"/>
        <v>281</v>
      </c>
      <c r="B294" s="1">
        <f t="shared" si="28"/>
        <v>13306.049903583664</v>
      </c>
      <c r="C294" s="1">
        <f t="shared" si="25"/>
        <v>8355.3995791359339</v>
      </c>
      <c r="D294" s="1">
        <f t="shared" si="26"/>
        <v>4950.6503244477308</v>
      </c>
      <c r="E294" s="1">
        <f t="shared" si="27"/>
        <v>840327.51318333216</v>
      </c>
    </row>
    <row r="295" spans="1:5">
      <c r="A295">
        <f t="shared" si="24"/>
        <v>282</v>
      </c>
      <c r="B295" s="1">
        <f t="shared" si="28"/>
        <v>13306.049903583664</v>
      </c>
      <c r="C295" s="1">
        <f t="shared" si="25"/>
        <v>8404.1394100142261</v>
      </c>
      <c r="D295" s="1">
        <f t="shared" si="26"/>
        <v>4901.9104935694377</v>
      </c>
      <c r="E295" s="1">
        <f t="shared" si="27"/>
        <v>831923.3737733179</v>
      </c>
    </row>
    <row r="296" spans="1:5">
      <c r="A296">
        <f t="shared" si="24"/>
        <v>283</v>
      </c>
      <c r="B296" s="1">
        <f t="shared" si="28"/>
        <v>13306.049903583664</v>
      </c>
      <c r="C296" s="1">
        <f t="shared" si="25"/>
        <v>8453.1635565726428</v>
      </c>
      <c r="D296" s="1">
        <f t="shared" si="26"/>
        <v>4852.8863470110209</v>
      </c>
      <c r="E296" s="1">
        <f t="shared" si="27"/>
        <v>823470.21021674527</v>
      </c>
    </row>
    <row r="297" spans="1:5">
      <c r="A297">
        <f t="shared" si="24"/>
        <v>284</v>
      </c>
      <c r="B297" s="1">
        <f t="shared" si="28"/>
        <v>13306.049903583664</v>
      </c>
      <c r="C297" s="1">
        <f t="shared" si="25"/>
        <v>8502.4736773193163</v>
      </c>
      <c r="D297" s="1">
        <f t="shared" si="26"/>
        <v>4803.5762262643475</v>
      </c>
      <c r="E297" s="1">
        <f t="shared" si="27"/>
        <v>814967.73653942591</v>
      </c>
    </row>
    <row r="298" spans="1:5">
      <c r="A298">
        <f t="shared" si="24"/>
        <v>285</v>
      </c>
      <c r="B298" s="1">
        <f t="shared" si="28"/>
        <v>13306.049903583664</v>
      </c>
      <c r="C298" s="1">
        <f t="shared" si="25"/>
        <v>8552.0714404370119</v>
      </c>
      <c r="D298" s="1">
        <f t="shared" si="26"/>
        <v>4753.9784631466509</v>
      </c>
      <c r="E298" s="1">
        <f t="shared" si="27"/>
        <v>806415.66509898892</v>
      </c>
    </row>
    <row r="299" spans="1:5">
      <c r="A299">
        <f t="shared" si="24"/>
        <v>286</v>
      </c>
      <c r="B299" s="1">
        <f t="shared" si="28"/>
        <v>13306.049903583664</v>
      </c>
      <c r="C299" s="1">
        <f t="shared" si="25"/>
        <v>8601.9585238395612</v>
      </c>
      <c r="D299" s="1">
        <f t="shared" si="26"/>
        <v>4704.0913797441026</v>
      </c>
      <c r="E299" s="1">
        <f t="shared" si="27"/>
        <v>797813.70657514932</v>
      </c>
    </row>
    <row r="300" spans="1:5">
      <c r="A300">
        <f t="shared" si="24"/>
        <v>287</v>
      </c>
      <c r="B300" s="1">
        <f t="shared" si="28"/>
        <v>13306.049903583664</v>
      </c>
      <c r="C300" s="1">
        <f t="shared" si="25"/>
        <v>8652.1366152286246</v>
      </c>
      <c r="D300" s="1">
        <f t="shared" si="26"/>
        <v>4653.9132883550383</v>
      </c>
      <c r="E300" s="1">
        <f t="shared" si="27"/>
        <v>789161.56995992071</v>
      </c>
    </row>
    <row r="301" spans="1:5">
      <c r="A301">
        <f t="shared" si="24"/>
        <v>288</v>
      </c>
      <c r="B301" s="1">
        <f t="shared" si="28"/>
        <v>13306.049903583664</v>
      </c>
      <c r="C301" s="1">
        <f t="shared" si="25"/>
        <v>8702.6074121507918</v>
      </c>
      <c r="D301" s="1">
        <f t="shared" si="26"/>
        <v>4603.4424914328711</v>
      </c>
      <c r="E301" s="1">
        <f t="shared" si="27"/>
        <v>780458.96254776989</v>
      </c>
    </row>
    <row r="302" spans="1:5">
      <c r="A302">
        <f t="shared" si="24"/>
        <v>289</v>
      </c>
      <c r="B302" s="1">
        <f t="shared" si="28"/>
        <v>13306.049903583664</v>
      </c>
      <c r="C302" s="1">
        <f t="shared" si="25"/>
        <v>8753.3726220550052</v>
      </c>
      <c r="D302" s="1">
        <f t="shared" si="26"/>
        <v>4552.6772815286577</v>
      </c>
      <c r="E302" s="1">
        <f t="shared" si="27"/>
        <v>771705.58992571488</v>
      </c>
    </row>
    <row r="303" spans="1:5">
      <c r="A303">
        <f t="shared" si="24"/>
        <v>290</v>
      </c>
      <c r="B303" s="1">
        <f t="shared" si="28"/>
        <v>13306.049903583664</v>
      </c>
      <c r="C303" s="1">
        <f t="shared" si="25"/>
        <v>8804.4339623503256</v>
      </c>
      <c r="D303" s="1">
        <f t="shared" si="26"/>
        <v>4501.6159412333373</v>
      </c>
      <c r="E303" s="1">
        <f t="shared" si="27"/>
        <v>762901.15596336452</v>
      </c>
    </row>
    <row r="304" spans="1:5">
      <c r="A304">
        <f t="shared" si="24"/>
        <v>291</v>
      </c>
      <c r="B304" s="1">
        <f t="shared" si="28"/>
        <v>13306.049903583664</v>
      </c>
      <c r="C304" s="1">
        <f t="shared" si="25"/>
        <v>8855.7931604640362</v>
      </c>
      <c r="D304" s="1">
        <f t="shared" si="26"/>
        <v>4450.2567431196267</v>
      </c>
      <c r="E304" s="1">
        <f t="shared" si="27"/>
        <v>754045.36280290049</v>
      </c>
    </row>
    <row r="305" spans="1:5">
      <c r="A305">
        <f t="shared" si="24"/>
        <v>292</v>
      </c>
      <c r="B305" s="1">
        <f t="shared" si="28"/>
        <v>13306.049903583664</v>
      </c>
      <c r="C305" s="1">
        <f t="shared" si="25"/>
        <v>8907.4519539000776</v>
      </c>
      <c r="D305" s="1">
        <f t="shared" si="26"/>
        <v>4398.5979496835862</v>
      </c>
      <c r="E305" s="1">
        <f t="shared" si="27"/>
        <v>745137.91084900044</v>
      </c>
    </row>
    <row r="306" spans="1:5">
      <c r="A306">
        <f t="shared" si="24"/>
        <v>293</v>
      </c>
      <c r="B306" s="1">
        <f t="shared" si="28"/>
        <v>13306.049903583664</v>
      </c>
      <c r="C306" s="1">
        <f t="shared" si="25"/>
        <v>8959.4120902978284</v>
      </c>
      <c r="D306" s="1">
        <f t="shared" si="26"/>
        <v>4346.6378132858363</v>
      </c>
      <c r="E306" s="1">
        <f t="shared" si="27"/>
        <v>736178.49875870266</v>
      </c>
    </row>
    <row r="307" spans="1:5">
      <c r="A307">
        <f t="shared" si="24"/>
        <v>294</v>
      </c>
      <c r="B307" s="1">
        <f t="shared" si="28"/>
        <v>13306.049903583664</v>
      </c>
      <c r="C307" s="1">
        <f t="shared" si="25"/>
        <v>9011.6753274912317</v>
      </c>
      <c r="D307" s="1">
        <f t="shared" si="26"/>
        <v>4294.3745760924321</v>
      </c>
      <c r="E307" s="1">
        <f t="shared" si="27"/>
        <v>727166.82343121141</v>
      </c>
    </row>
    <row r="308" spans="1:5">
      <c r="A308">
        <f t="shared" si="24"/>
        <v>295</v>
      </c>
      <c r="B308" s="1">
        <f t="shared" si="28"/>
        <v>13306.049903583664</v>
      </c>
      <c r="C308" s="1">
        <f t="shared" si="25"/>
        <v>9064.2434335682628</v>
      </c>
      <c r="D308" s="1">
        <f t="shared" si="26"/>
        <v>4241.8064700154</v>
      </c>
      <c r="E308" s="1">
        <f t="shared" si="27"/>
        <v>718102.57999764313</v>
      </c>
    </row>
    <row r="309" spans="1:5">
      <c r="A309">
        <f t="shared" si="24"/>
        <v>296</v>
      </c>
      <c r="B309" s="1">
        <f t="shared" si="28"/>
        <v>13306.049903583664</v>
      </c>
      <c r="C309" s="1">
        <f t="shared" si="25"/>
        <v>9117.1181869307457</v>
      </c>
      <c r="D309" s="1">
        <f t="shared" si="26"/>
        <v>4188.9317166529181</v>
      </c>
      <c r="E309" s="1">
        <f t="shared" si="27"/>
        <v>708985.46181071235</v>
      </c>
    </row>
    <row r="310" spans="1:5">
      <c r="A310">
        <f t="shared" si="24"/>
        <v>297</v>
      </c>
      <c r="B310" s="1">
        <f t="shared" si="28"/>
        <v>13306.049903583664</v>
      </c>
      <c r="C310" s="1">
        <f t="shared" si="25"/>
        <v>9170.3013763545077</v>
      </c>
      <c r="D310" s="1">
        <f t="shared" si="26"/>
        <v>4135.748527229156</v>
      </c>
      <c r="E310" s="1">
        <f t="shared" si="27"/>
        <v>699815.16043435782</v>
      </c>
    </row>
    <row r="311" spans="1:5">
      <c r="A311">
        <f t="shared" si="24"/>
        <v>298</v>
      </c>
      <c r="B311" s="1">
        <f t="shared" si="28"/>
        <v>13306.049903583664</v>
      </c>
      <c r="C311" s="1">
        <f t="shared" si="25"/>
        <v>9223.7948010499094</v>
      </c>
      <c r="D311" s="1">
        <f t="shared" si="26"/>
        <v>4082.2551025337543</v>
      </c>
      <c r="E311" s="1">
        <f t="shared" si="27"/>
        <v>690591.36563330796</v>
      </c>
    </row>
    <row r="312" spans="1:5">
      <c r="A312">
        <f t="shared" si="24"/>
        <v>299</v>
      </c>
      <c r="B312" s="1">
        <f t="shared" si="28"/>
        <v>13306.049903583664</v>
      </c>
      <c r="C312" s="1">
        <f t="shared" si="25"/>
        <v>9277.6002707226999</v>
      </c>
      <c r="D312" s="1">
        <f t="shared" si="26"/>
        <v>4028.4496328609634</v>
      </c>
      <c r="E312" s="1">
        <f t="shared" si="27"/>
        <v>681313.76536258531</v>
      </c>
    </row>
    <row r="313" spans="1:5">
      <c r="A313">
        <f t="shared" si="24"/>
        <v>300</v>
      </c>
      <c r="B313" s="1">
        <f t="shared" si="28"/>
        <v>13306.049903583664</v>
      </c>
      <c r="C313" s="1">
        <f t="shared" si="25"/>
        <v>9331.7196056352495</v>
      </c>
      <c r="D313" s="1">
        <f t="shared" si="26"/>
        <v>3974.3302979484147</v>
      </c>
      <c r="E313" s="1">
        <f t="shared" si="27"/>
        <v>671982.04575695004</v>
      </c>
    </row>
    <row r="314" spans="1:5">
      <c r="A314">
        <f t="shared" si="24"/>
        <v>301</v>
      </c>
      <c r="B314" s="1">
        <f t="shared" si="28"/>
        <v>13306.049903583664</v>
      </c>
      <c r="C314" s="1">
        <f t="shared" si="25"/>
        <v>9386.1546366681214</v>
      </c>
      <c r="D314" s="1">
        <f t="shared" si="26"/>
        <v>3919.8952669155419</v>
      </c>
      <c r="E314" s="1">
        <f t="shared" si="27"/>
        <v>662595.89112028189</v>
      </c>
    </row>
    <row r="315" spans="1:5">
      <c r="A315">
        <f t="shared" si="24"/>
        <v>302</v>
      </c>
      <c r="B315" s="1">
        <f t="shared" si="28"/>
        <v>13306.049903583664</v>
      </c>
      <c r="C315" s="1">
        <f t="shared" si="25"/>
        <v>9440.90720538202</v>
      </c>
      <c r="D315" s="1">
        <f t="shared" si="26"/>
        <v>3865.1426982016446</v>
      </c>
      <c r="E315" s="1">
        <f t="shared" si="27"/>
        <v>653154.98391489987</v>
      </c>
    </row>
    <row r="316" spans="1:5">
      <c r="A316">
        <f t="shared" si="24"/>
        <v>303</v>
      </c>
      <c r="B316" s="1">
        <f t="shared" si="28"/>
        <v>13306.049903583664</v>
      </c>
      <c r="C316" s="1">
        <f t="shared" si="25"/>
        <v>9495.9791640800813</v>
      </c>
      <c r="D316" s="1">
        <f t="shared" si="26"/>
        <v>3810.0707395035829</v>
      </c>
      <c r="E316" s="1">
        <f t="shared" si="27"/>
        <v>643659.00475081976</v>
      </c>
    </row>
    <row r="317" spans="1:5">
      <c r="A317">
        <f t="shared" si="24"/>
        <v>304</v>
      </c>
      <c r="B317" s="1">
        <f t="shared" si="28"/>
        <v>13306.049903583664</v>
      </c>
      <c r="C317" s="1">
        <f t="shared" si="25"/>
        <v>9551.3723758705491</v>
      </c>
      <c r="D317" s="1">
        <f t="shared" si="26"/>
        <v>3754.6775277131155</v>
      </c>
      <c r="E317" s="1">
        <f t="shared" si="27"/>
        <v>634107.63237494917</v>
      </c>
    </row>
    <row r="318" spans="1:5">
      <c r="A318">
        <f t="shared" si="24"/>
        <v>305</v>
      </c>
      <c r="B318" s="1">
        <f t="shared" si="28"/>
        <v>13306.049903583664</v>
      </c>
      <c r="C318" s="1">
        <f t="shared" si="25"/>
        <v>9607.0887147297944</v>
      </c>
      <c r="D318" s="1">
        <f t="shared" si="26"/>
        <v>3698.9611888538702</v>
      </c>
      <c r="E318" s="1">
        <f t="shared" si="27"/>
        <v>624500.54366021941</v>
      </c>
    </row>
    <row r="319" spans="1:5">
      <c r="A319">
        <f t="shared" si="24"/>
        <v>306</v>
      </c>
      <c r="B319" s="1">
        <f t="shared" si="28"/>
        <v>13306.049903583664</v>
      </c>
      <c r="C319" s="1">
        <f t="shared" si="25"/>
        <v>9663.1300655657178</v>
      </c>
      <c r="D319" s="1">
        <f t="shared" si="26"/>
        <v>3642.9198380179469</v>
      </c>
      <c r="E319" s="1">
        <f t="shared" si="27"/>
        <v>614837.41359465371</v>
      </c>
    </row>
    <row r="320" spans="1:5">
      <c r="A320">
        <f t="shared" si="24"/>
        <v>307</v>
      </c>
      <c r="B320" s="1">
        <f t="shared" si="28"/>
        <v>13306.049903583664</v>
      </c>
      <c r="C320" s="1">
        <f t="shared" si="25"/>
        <v>9719.4983242815179</v>
      </c>
      <c r="D320" s="1">
        <f t="shared" si="26"/>
        <v>3586.5515793021468</v>
      </c>
      <c r="E320" s="1">
        <f t="shared" si="27"/>
        <v>605117.91527037218</v>
      </c>
    </row>
    <row r="321" spans="1:5">
      <c r="A321">
        <f t="shared" si="24"/>
        <v>308</v>
      </c>
      <c r="B321" s="1">
        <f t="shared" si="28"/>
        <v>13306.049903583664</v>
      </c>
      <c r="C321" s="1">
        <f t="shared" si="25"/>
        <v>9776.1953978398269</v>
      </c>
      <c r="D321" s="1">
        <f t="shared" si="26"/>
        <v>3529.8545057438378</v>
      </c>
      <c r="E321" s="1">
        <f t="shared" si="27"/>
        <v>595341.7198725323</v>
      </c>
    </row>
    <row r="322" spans="1:5">
      <c r="A322">
        <f t="shared" si="24"/>
        <v>309</v>
      </c>
      <c r="B322" s="1">
        <f t="shared" si="28"/>
        <v>13306.049903583664</v>
      </c>
      <c r="C322" s="1">
        <f t="shared" si="25"/>
        <v>9833.2232043272252</v>
      </c>
      <c r="D322" s="1">
        <f t="shared" si="26"/>
        <v>3472.8266992564386</v>
      </c>
      <c r="E322" s="1">
        <f t="shared" si="27"/>
        <v>585508.49666820501</v>
      </c>
    </row>
    <row r="323" spans="1:5">
      <c r="A323">
        <f t="shared" si="24"/>
        <v>310</v>
      </c>
      <c r="B323" s="1">
        <f t="shared" si="28"/>
        <v>13306.049903583664</v>
      </c>
      <c r="C323" s="1">
        <f t="shared" si="25"/>
        <v>9890.5836730191349</v>
      </c>
      <c r="D323" s="1">
        <f t="shared" si="26"/>
        <v>3415.4662305645293</v>
      </c>
      <c r="E323" s="1">
        <f t="shared" si="27"/>
        <v>575617.91299518594</v>
      </c>
    </row>
    <row r="324" spans="1:5">
      <c r="A324">
        <f t="shared" si="24"/>
        <v>311</v>
      </c>
      <c r="B324" s="1">
        <f t="shared" si="28"/>
        <v>13306.049903583664</v>
      </c>
      <c r="C324" s="1">
        <f t="shared" si="25"/>
        <v>9948.2787444450787</v>
      </c>
      <c r="D324" s="1">
        <f t="shared" si="26"/>
        <v>3357.7711591385846</v>
      </c>
      <c r="E324" s="1">
        <f t="shared" si="27"/>
        <v>565669.63425074087</v>
      </c>
    </row>
    <row r="325" spans="1:5">
      <c r="A325">
        <f t="shared" si="24"/>
        <v>312</v>
      </c>
      <c r="B325" s="1">
        <f t="shared" si="28"/>
        <v>13306.049903583664</v>
      </c>
      <c r="C325" s="1">
        <f t="shared" si="25"/>
        <v>10006.310370454343</v>
      </c>
      <c r="D325" s="1">
        <f t="shared" si="26"/>
        <v>3299.7395331293219</v>
      </c>
      <c r="E325" s="1">
        <f t="shared" si="27"/>
        <v>555663.32388028654</v>
      </c>
    </row>
    <row r="326" spans="1:5">
      <c r="A326">
        <f t="shared" si="24"/>
        <v>313</v>
      </c>
      <c r="B326" s="1">
        <f t="shared" si="28"/>
        <v>13306.049903583664</v>
      </c>
      <c r="C326" s="1">
        <f t="shared" si="25"/>
        <v>10064.680514281992</v>
      </c>
      <c r="D326" s="1">
        <f t="shared" si="26"/>
        <v>3241.3693893016716</v>
      </c>
      <c r="E326" s="1">
        <f t="shared" si="27"/>
        <v>545598.64336600457</v>
      </c>
    </row>
    <row r="327" spans="1:5">
      <c r="A327">
        <f t="shared" si="24"/>
        <v>314</v>
      </c>
      <c r="B327" s="1">
        <f t="shared" si="28"/>
        <v>13306.049903583664</v>
      </c>
      <c r="C327" s="1">
        <f t="shared" si="25"/>
        <v>10123.391150615304</v>
      </c>
      <c r="D327" s="1">
        <f t="shared" si="26"/>
        <v>3182.6587529683602</v>
      </c>
      <c r="E327" s="1">
        <f t="shared" si="27"/>
        <v>535475.25221538928</v>
      </c>
    </row>
    <row r="328" spans="1:5">
      <c r="A328">
        <f t="shared" ref="A328:A391" si="29">IF(($B$7*$B$8&gt;A327),IF(($B$7*$B$8)=A327,"",A327+1),"")</f>
        <v>315</v>
      </c>
      <c r="B328" s="1">
        <f t="shared" si="28"/>
        <v>13306.049903583664</v>
      </c>
      <c r="C328" s="1">
        <f t="shared" ref="C328:C391" si="30">IF(A328="","",B328-D328)</f>
        <v>10182.444265660561</v>
      </c>
      <c r="D328" s="1">
        <f t="shared" ref="D328:D391" si="31">IF(A328="","",(E327*($B$6/$B$8)))</f>
        <v>3123.605637923104</v>
      </c>
      <c r="E328" s="1">
        <f t="shared" ref="E328:E391" si="32">IF(A328="","",E327-C328)</f>
        <v>525292.80794972868</v>
      </c>
    </row>
    <row r="329" spans="1:5">
      <c r="A329">
        <f t="shared" si="29"/>
        <v>316</v>
      </c>
      <c r="B329" s="1">
        <f t="shared" si="28"/>
        <v>13306.049903583664</v>
      </c>
      <c r="C329" s="1">
        <f t="shared" si="30"/>
        <v>10241.841857210246</v>
      </c>
      <c r="D329" s="1">
        <f t="shared" si="31"/>
        <v>3064.2080463734173</v>
      </c>
      <c r="E329" s="1">
        <f t="shared" si="32"/>
        <v>515050.96609251841</v>
      </c>
    </row>
    <row r="330" spans="1:5">
      <c r="A330">
        <f t="shared" si="29"/>
        <v>317</v>
      </c>
      <c r="B330" s="1">
        <f t="shared" si="28"/>
        <v>13306.049903583664</v>
      </c>
      <c r="C330" s="1">
        <f t="shared" si="30"/>
        <v>10301.58593471064</v>
      </c>
      <c r="D330" s="1">
        <f t="shared" si="31"/>
        <v>3004.4639688730244</v>
      </c>
      <c r="E330" s="1">
        <f t="shared" si="32"/>
        <v>504749.38015780778</v>
      </c>
    </row>
    <row r="331" spans="1:5">
      <c r="A331">
        <f t="shared" si="29"/>
        <v>318</v>
      </c>
      <c r="B331" s="1">
        <f t="shared" si="28"/>
        <v>13306.049903583664</v>
      </c>
      <c r="C331" s="1">
        <f t="shared" si="30"/>
        <v>10361.678519329786</v>
      </c>
      <c r="D331" s="1">
        <f t="shared" si="31"/>
        <v>2944.3713842538787</v>
      </c>
      <c r="E331" s="1">
        <f t="shared" si="32"/>
        <v>494387.70163847797</v>
      </c>
    </row>
    <row r="332" spans="1:5">
      <c r="A332">
        <f t="shared" si="29"/>
        <v>319</v>
      </c>
      <c r="B332" s="1">
        <f t="shared" si="28"/>
        <v>13306.049903583664</v>
      </c>
      <c r="C332" s="1">
        <f t="shared" si="30"/>
        <v>10422.121644025876</v>
      </c>
      <c r="D332" s="1">
        <f t="shared" si="31"/>
        <v>2883.9282595577884</v>
      </c>
      <c r="E332" s="1">
        <f t="shared" si="32"/>
        <v>483965.57999445207</v>
      </c>
    </row>
    <row r="333" spans="1:5">
      <c r="A333">
        <f t="shared" si="29"/>
        <v>320</v>
      </c>
      <c r="B333" s="1">
        <f t="shared" si="28"/>
        <v>13306.049903583664</v>
      </c>
      <c r="C333" s="1">
        <f t="shared" si="30"/>
        <v>10482.917353616027</v>
      </c>
      <c r="D333" s="1">
        <f t="shared" si="31"/>
        <v>2823.1325499676373</v>
      </c>
      <c r="E333" s="1">
        <f t="shared" si="32"/>
        <v>473482.66264083603</v>
      </c>
    </row>
    <row r="334" spans="1:5">
      <c r="A334">
        <f t="shared" si="29"/>
        <v>321</v>
      </c>
      <c r="B334" s="1">
        <f t="shared" si="28"/>
        <v>13306.049903583664</v>
      </c>
      <c r="C334" s="1">
        <f t="shared" si="30"/>
        <v>10544.067704845453</v>
      </c>
      <c r="D334" s="1">
        <f t="shared" si="31"/>
        <v>2761.9821987382102</v>
      </c>
      <c r="E334" s="1">
        <f t="shared" si="32"/>
        <v>462938.59493599058</v>
      </c>
    </row>
    <row r="335" spans="1:5">
      <c r="A335">
        <f t="shared" si="29"/>
        <v>322</v>
      </c>
      <c r="B335" s="1">
        <f t="shared" si="28"/>
        <v>13306.049903583664</v>
      </c>
      <c r="C335" s="1">
        <f t="shared" si="30"/>
        <v>10605.574766457052</v>
      </c>
      <c r="D335" s="1">
        <f t="shared" si="31"/>
        <v>2700.475137126612</v>
      </c>
      <c r="E335" s="1">
        <f t="shared" si="32"/>
        <v>452333.02016953356</v>
      </c>
    </row>
    <row r="336" spans="1:5">
      <c r="A336">
        <f t="shared" si="29"/>
        <v>323</v>
      </c>
      <c r="B336" s="1">
        <f t="shared" ref="B336:B399" si="33">IF(A336="","",$B$14)</f>
        <v>13306.049903583664</v>
      </c>
      <c r="C336" s="1">
        <f t="shared" si="30"/>
        <v>10667.440619261384</v>
      </c>
      <c r="D336" s="1">
        <f t="shared" si="31"/>
        <v>2638.6092843222791</v>
      </c>
      <c r="E336" s="1">
        <f t="shared" si="32"/>
        <v>441665.57955027214</v>
      </c>
    </row>
    <row r="337" spans="1:5">
      <c r="A337">
        <f t="shared" si="29"/>
        <v>324</v>
      </c>
      <c r="B337" s="1">
        <f t="shared" si="33"/>
        <v>13306.049903583664</v>
      </c>
      <c r="C337" s="1">
        <f t="shared" si="30"/>
        <v>10729.667356207075</v>
      </c>
      <c r="D337" s="1">
        <f t="shared" si="31"/>
        <v>2576.3825473765878</v>
      </c>
      <c r="E337" s="1">
        <f t="shared" si="32"/>
        <v>430935.91219406505</v>
      </c>
    </row>
    <row r="338" spans="1:5">
      <c r="A338">
        <f t="shared" si="29"/>
        <v>325</v>
      </c>
      <c r="B338" s="1">
        <f t="shared" si="33"/>
        <v>13306.049903583664</v>
      </c>
      <c r="C338" s="1">
        <f t="shared" si="30"/>
        <v>10792.257082451617</v>
      </c>
      <c r="D338" s="1">
        <f t="shared" si="31"/>
        <v>2513.7928211320464</v>
      </c>
      <c r="E338" s="1">
        <f t="shared" si="32"/>
        <v>420143.65511161345</v>
      </c>
    </row>
    <row r="339" spans="1:5">
      <c r="A339">
        <f t="shared" si="29"/>
        <v>326</v>
      </c>
      <c r="B339" s="1">
        <f t="shared" si="33"/>
        <v>13306.049903583664</v>
      </c>
      <c r="C339" s="1">
        <f t="shared" si="30"/>
        <v>10855.211915432585</v>
      </c>
      <c r="D339" s="1">
        <f t="shared" si="31"/>
        <v>2450.8379881510787</v>
      </c>
      <c r="E339" s="1">
        <f t="shared" si="32"/>
        <v>409288.44319618086</v>
      </c>
    </row>
    <row r="340" spans="1:5">
      <c r="A340">
        <f t="shared" si="29"/>
        <v>327</v>
      </c>
      <c r="B340" s="1">
        <f t="shared" si="33"/>
        <v>13306.049903583664</v>
      </c>
      <c r="C340" s="1">
        <f t="shared" si="30"/>
        <v>10918.533984939275</v>
      </c>
      <c r="D340" s="1">
        <f t="shared" si="31"/>
        <v>2387.5159186443884</v>
      </c>
      <c r="E340" s="1">
        <f t="shared" si="32"/>
        <v>398369.90921124158</v>
      </c>
    </row>
    <row r="341" spans="1:5">
      <c r="A341">
        <f t="shared" si="29"/>
        <v>328</v>
      </c>
      <c r="B341" s="1">
        <f t="shared" si="33"/>
        <v>13306.049903583664</v>
      </c>
      <c r="C341" s="1">
        <f t="shared" si="30"/>
        <v>10982.225433184754</v>
      </c>
      <c r="D341" s="1">
        <f t="shared" si="31"/>
        <v>2323.8244703989094</v>
      </c>
      <c r="E341" s="1">
        <f t="shared" si="32"/>
        <v>387387.68377805682</v>
      </c>
    </row>
    <row r="342" spans="1:5">
      <c r="A342">
        <f t="shared" si="29"/>
        <v>329</v>
      </c>
      <c r="B342" s="1">
        <f t="shared" si="33"/>
        <v>13306.049903583664</v>
      </c>
      <c r="C342" s="1">
        <f t="shared" si="30"/>
        <v>11046.288414878332</v>
      </c>
      <c r="D342" s="1">
        <f t="shared" si="31"/>
        <v>2259.7614887053314</v>
      </c>
      <c r="E342" s="1">
        <f t="shared" si="32"/>
        <v>376341.39536317851</v>
      </c>
    </row>
    <row r="343" spans="1:5">
      <c r="A343">
        <f t="shared" si="29"/>
        <v>330</v>
      </c>
      <c r="B343" s="1">
        <f t="shared" si="33"/>
        <v>13306.049903583664</v>
      </c>
      <c r="C343" s="1">
        <f t="shared" si="30"/>
        <v>11110.725097298455</v>
      </c>
      <c r="D343" s="1">
        <f t="shared" si="31"/>
        <v>2195.3248062852081</v>
      </c>
      <c r="E343" s="1">
        <f t="shared" si="32"/>
        <v>365230.67026588006</v>
      </c>
    </row>
    <row r="344" spans="1:5">
      <c r="A344">
        <f t="shared" si="29"/>
        <v>331</v>
      </c>
      <c r="B344" s="1">
        <f t="shared" si="33"/>
        <v>13306.049903583664</v>
      </c>
      <c r="C344" s="1">
        <f t="shared" si="30"/>
        <v>11175.53766036603</v>
      </c>
      <c r="D344" s="1">
        <f t="shared" si="31"/>
        <v>2130.512243217634</v>
      </c>
      <c r="E344" s="1">
        <f t="shared" si="32"/>
        <v>354055.13260551402</v>
      </c>
    </row>
    <row r="345" spans="1:5">
      <c r="A345">
        <f t="shared" si="29"/>
        <v>332</v>
      </c>
      <c r="B345" s="1">
        <f t="shared" si="33"/>
        <v>13306.049903583664</v>
      </c>
      <c r="C345" s="1">
        <f t="shared" si="30"/>
        <v>11240.728296718165</v>
      </c>
      <c r="D345" s="1">
        <f t="shared" si="31"/>
        <v>2065.3216068654988</v>
      </c>
      <c r="E345" s="1">
        <f t="shared" si="32"/>
        <v>342814.40430879587</v>
      </c>
    </row>
    <row r="346" spans="1:5">
      <c r="A346">
        <f t="shared" si="29"/>
        <v>333</v>
      </c>
      <c r="B346" s="1">
        <f t="shared" si="33"/>
        <v>13306.049903583664</v>
      </c>
      <c r="C346" s="1">
        <f t="shared" si="30"/>
        <v>11306.299211782354</v>
      </c>
      <c r="D346" s="1">
        <f t="shared" si="31"/>
        <v>1999.7506918013094</v>
      </c>
      <c r="E346" s="1">
        <f t="shared" si="32"/>
        <v>331508.10509701353</v>
      </c>
    </row>
    <row r="347" spans="1:5">
      <c r="A347">
        <f t="shared" si="29"/>
        <v>334</v>
      </c>
      <c r="B347" s="1">
        <f t="shared" si="33"/>
        <v>13306.049903583664</v>
      </c>
      <c r="C347" s="1">
        <f t="shared" si="30"/>
        <v>11372.252623851085</v>
      </c>
      <c r="D347" s="1">
        <f t="shared" si="31"/>
        <v>1933.797279732579</v>
      </c>
      <c r="E347" s="1">
        <f t="shared" si="32"/>
        <v>320135.85247316246</v>
      </c>
    </row>
    <row r="348" spans="1:5">
      <c r="A348">
        <f t="shared" si="29"/>
        <v>335</v>
      </c>
      <c r="B348" s="1">
        <f t="shared" si="33"/>
        <v>13306.049903583664</v>
      </c>
      <c r="C348" s="1">
        <f t="shared" si="30"/>
        <v>11438.590764156883</v>
      </c>
      <c r="D348" s="1">
        <f t="shared" si="31"/>
        <v>1867.4591394267811</v>
      </c>
      <c r="E348" s="1">
        <f t="shared" si="32"/>
        <v>308697.26170900557</v>
      </c>
    </row>
    <row r="349" spans="1:5">
      <c r="A349">
        <f t="shared" si="29"/>
        <v>336</v>
      </c>
      <c r="B349" s="1">
        <f t="shared" si="33"/>
        <v>13306.049903583664</v>
      </c>
      <c r="C349" s="1">
        <f t="shared" si="30"/>
        <v>11505.315876947798</v>
      </c>
      <c r="D349" s="1">
        <f t="shared" si="31"/>
        <v>1800.734026635866</v>
      </c>
      <c r="E349" s="1">
        <f t="shared" si="32"/>
        <v>297191.9458320578</v>
      </c>
    </row>
    <row r="350" spans="1:5">
      <c r="A350">
        <f t="shared" si="29"/>
        <v>337</v>
      </c>
      <c r="B350" s="1">
        <f t="shared" si="33"/>
        <v>13306.049903583664</v>
      </c>
      <c r="C350" s="1">
        <f t="shared" si="30"/>
        <v>11572.430219563326</v>
      </c>
      <c r="D350" s="1">
        <f t="shared" si="31"/>
        <v>1733.6196840203372</v>
      </c>
      <c r="E350" s="1">
        <f t="shared" si="32"/>
        <v>285619.51561249449</v>
      </c>
    </row>
    <row r="351" spans="1:5">
      <c r="A351">
        <f t="shared" si="29"/>
        <v>338</v>
      </c>
      <c r="B351" s="1">
        <f t="shared" si="33"/>
        <v>13306.049903583664</v>
      </c>
      <c r="C351" s="1">
        <f t="shared" si="30"/>
        <v>11639.93606251078</v>
      </c>
      <c r="D351" s="1">
        <f t="shared" si="31"/>
        <v>1666.1138410728845</v>
      </c>
      <c r="E351" s="1">
        <f t="shared" si="32"/>
        <v>273979.57954998373</v>
      </c>
    </row>
    <row r="352" spans="1:5">
      <c r="A352">
        <f t="shared" si="29"/>
        <v>339</v>
      </c>
      <c r="B352" s="1">
        <f t="shared" si="33"/>
        <v>13306.049903583664</v>
      </c>
      <c r="C352" s="1">
        <f t="shared" si="30"/>
        <v>11707.835689542091</v>
      </c>
      <c r="D352" s="1">
        <f t="shared" si="31"/>
        <v>1598.2142140415717</v>
      </c>
      <c r="E352" s="1">
        <f t="shared" si="32"/>
        <v>262271.74386044161</v>
      </c>
    </row>
    <row r="353" spans="1:5">
      <c r="A353">
        <f t="shared" si="29"/>
        <v>340</v>
      </c>
      <c r="B353" s="1">
        <f t="shared" si="33"/>
        <v>13306.049903583664</v>
      </c>
      <c r="C353" s="1">
        <f t="shared" si="30"/>
        <v>11776.131397731087</v>
      </c>
      <c r="D353" s="1">
        <f t="shared" si="31"/>
        <v>1529.9185058525761</v>
      </c>
      <c r="E353" s="1">
        <f t="shared" si="32"/>
        <v>250495.61246271053</v>
      </c>
    </row>
    <row r="354" spans="1:5">
      <c r="A354">
        <f t="shared" si="29"/>
        <v>341</v>
      </c>
      <c r="B354" s="1">
        <f t="shared" si="33"/>
        <v>13306.049903583664</v>
      </c>
      <c r="C354" s="1">
        <f t="shared" si="30"/>
        <v>11844.825497551186</v>
      </c>
      <c r="D354" s="1">
        <f t="shared" si="31"/>
        <v>1461.2244060324781</v>
      </c>
      <c r="E354" s="1">
        <f t="shared" si="32"/>
        <v>238650.78696515935</v>
      </c>
    </row>
    <row r="355" spans="1:5">
      <c r="A355">
        <f t="shared" si="29"/>
        <v>342</v>
      </c>
      <c r="B355" s="1">
        <f t="shared" si="33"/>
        <v>13306.049903583664</v>
      </c>
      <c r="C355" s="1">
        <f t="shared" si="30"/>
        <v>11913.920312953567</v>
      </c>
      <c r="D355" s="1">
        <f t="shared" si="31"/>
        <v>1392.1295906300963</v>
      </c>
      <c r="E355" s="1">
        <f t="shared" si="32"/>
        <v>226736.86665220579</v>
      </c>
    </row>
    <row r="356" spans="1:5">
      <c r="A356">
        <f t="shared" si="29"/>
        <v>343</v>
      </c>
      <c r="B356" s="1">
        <f t="shared" si="33"/>
        <v>13306.049903583664</v>
      </c>
      <c r="C356" s="1">
        <f t="shared" si="30"/>
        <v>11983.418181445797</v>
      </c>
      <c r="D356" s="1">
        <f t="shared" si="31"/>
        <v>1322.6317221378672</v>
      </c>
      <c r="E356" s="1">
        <f t="shared" si="32"/>
        <v>214753.44847075999</v>
      </c>
    </row>
    <row r="357" spans="1:5">
      <c r="A357">
        <f t="shared" si="29"/>
        <v>344</v>
      </c>
      <c r="B357" s="1">
        <f t="shared" si="33"/>
        <v>13306.049903583664</v>
      </c>
      <c r="C357" s="1">
        <f t="shared" si="30"/>
        <v>12053.321454170897</v>
      </c>
      <c r="D357" s="1">
        <f t="shared" si="31"/>
        <v>1252.7284494127666</v>
      </c>
      <c r="E357" s="1">
        <f t="shared" si="32"/>
        <v>202700.1270165891</v>
      </c>
    </row>
    <row r="358" spans="1:5">
      <c r="A358">
        <f t="shared" si="29"/>
        <v>345</v>
      </c>
      <c r="B358" s="1">
        <f t="shared" si="33"/>
        <v>13306.049903583664</v>
      </c>
      <c r="C358" s="1">
        <f t="shared" si="30"/>
        <v>12123.632495986894</v>
      </c>
      <c r="D358" s="1">
        <f t="shared" si="31"/>
        <v>1182.4174075967699</v>
      </c>
      <c r="E358" s="1">
        <f t="shared" si="32"/>
        <v>190576.49452060222</v>
      </c>
    </row>
    <row r="359" spans="1:5">
      <c r="A359">
        <f t="shared" si="29"/>
        <v>346</v>
      </c>
      <c r="B359" s="1">
        <f t="shared" si="33"/>
        <v>13306.049903583664</v>
      </c>
      <c r="C359" s="1">
        <f t="shared" si="30"/>
        <v>12194.353685546817</v>
      </c>
      <c r="D359" s="1">
        <f t="shared" si="31"/>
        <v>1111.6962180368464</v>
      </c>
      <c r="E359" s="1">
        <f t="shared" si="32"/>
        <v>178382.14083505541</v>
      </c>
    </row>
    <row r="360" spans="1:5">
      <c r="A360">
        <f t="shared" si="29"/>
        <v>347</v>
      </c>
      <c r="B360" s="1">
        <f t="shared" si="33"/>
        <v>13306.049903583664</v>
      </c>
      <c r="C360" s="1">
        <f t="shared" si="30"/>
        <v>12265.487415379173</v>
      </c>
      <c r="D360" s="1">
        <f t="shared" si="31"/>
        <v>1040.5624882044899</v>
      </c>
      <c r="E360" s="1">
        <f t="shared" si="32"/>
        <v>166116.65341967624</v>
      </c>
    </row>
    <row r="361" spans="1:5">
      <c r="A361">
        <f t="shared" si="29"/>
        <v>348</v>
      </c>
      <c r="B361" s="1">
        <f t="shared" si="33"/>
        <v>13306.049903583664</v>
      </c>
      <c r="C361" s="1">
        <f t="shared" si="30"/>
        <v>12337.036091968886</v>
      </c>
      <c r="D361" s="1">
        <f t="shared" si="31"/>
        <v>969.01381161477809</v>
      </c>
      <c r="E361" s="1">
        <f t="shared" si="32"/>
        <v>153779.61732770735</v>
      </c>
    </row>
    <row r="362" spans="1:5">
      <c r="A362">
        <f t="shared" si="29"/>
        <v>349</v>
      </c>
      <c r="B362" s="1">
        <f t="shared" si="33"/>
        <v>13306.049903583664</v>
      </c>
      <c r="C362" s="1">
        <f t="shared" si="30"/>
        <v>12409.002135838704</v>
      </c>
      <c r="D362" s="1">
        <f t="shared" si="31"/>
        <v>897.04776774495963</v>
      </c>
      <c r="E362" s="1">
        <f t="shared" si="32"/>
        <v>141370.61519186865</v>
      </c>
    </row>
    <row r="363" spans="1:5">
      <c r="A363">
        <f t="shared" si="29"/>
        <v>350</v>
      </c>
      <c r="B363" s="1">
        <f t="shared" si="33"/>
        <v>13306.049903583664</v>
      </c>
      <c r="C363" s="1">
        <f t="shared" si="30"/>
        <v>12481.387981631096</v>
      </c>
      <c r="D363" s="1">
        <f t="shared" si="31"/>
        <v>824.66192195256713</v>
      </c>
      <c r="E363" s="1">
        <f t="shared" si="32"/>
        <v>128889.22721023756</v>
      </c>
    </row>
    <row r="364" spans="1:5">
      <c r="A364">
        <f t="shared" si="29"/>
        <v>351</v>
      </c>
      <c r="B364" s="1">
        <f t="shared" si="33"/>
        <v>13306.049903583664</v>
      </c>
      <c r="C364" s="1">
        <f t="shared" si="30"/>
        <v>12554.196078190611</v>
      </c>
      <c r="D364" s="1">
        <f t="shared" si="31"/>
        <v>751.85382539305249</v>
      </c>
      <c r="E364" s="1">
        <f t="shared" si="32"/>
        <v>116335.03113204695</v>
      </c>
    </row>
    <row r="365" spans="1:5">
      <c r="A365">
        <f t="shared" si="29"/>
        <v>352</v>
      </c>
      <c r="B365" s="1">
        <f t="shared" si="33"/>
        <v>13306.049903583664</v>
      </c>
      <c r="C365" s="1">
        <f t="shared" si="30"/>
        <v>12627.428888646724</v>
      </c>
      <c r="D365" s="1">
        <f t="shared" si="31"/>
        <v>678.62101493694058</v>
      </c>
      <c r="E365" s="1">
        <f t="shared" si="32"/>
        <v>103707.60224340022</v>
      </c>
    </row>
    <row r="366" spans="1:5">
      <c r="A366">
        <f t="shared" si="29"/>
        <v>353</v>
      </c>
      <c r="B366" s="1">
        <f t="shared" si="33"/>
        <v>13306.049903583664</v>
      </c>
      <c r="C366" s="1">
        <f t="shared" si="30"/>
        <v>12701.088890497162</v>
      </c>
      <c r="D366" s="1">
        <f t="shared" si="31"/>
        <v>604.96101308650134</v>
      </c>
      <c r="E366" s="1">
        <f t="shared" si="32"/>
        <v>91006.513352903057</v>
      </c>
    </row>
    <row r="367" spans="1:5">
      <c r="A367">
        <f t="shared" si="29"/>
        <v>354</v>
      </c>
      <c r="B367" s="1">
        <f t="shared" si="33"/>
        <v>13306.049903583664</v>
      </c>
      <c r="C367" s="1">
        <f t="shared" si="30"/>
        <v>12775.178575691729</v>
      </c>
      <c r="D367" s="1">
        <f t="shared" si="31"/>
        <v>530.87132789193447</v>
      </c>
      <c r="E367" s="1">
        <f t="shared" si="32"/>
        <v>78231.334777211334</v>
      </c>
    </row>
    <row r="368" spans="1:5">
      <c r="A368">
        <f t="shared" si="29"/>
        <v>355</v>
      </c>
      <c r="B368" s="1">
        <f t="shared" si="33"/>
        <v>13306.049903583664</v>
      </c>
      <c r="C368" s="1">
        <f t="shared" si="30"/>
        <v>12849.700450716598</v>
      </c>
      <c r="D368" s="1">
        <f t="shared" si="31"/>
        <v>456.34945286706613</v>
      </c>
      <c r="E368" s="1">
        <f t="shared" si="32"/>
        <v>65381.634326494735</v>
      </c>
    </row>
    <row r="369" spans="1:5">
      <c r="A369">
        <f t="shared" si="29"/>
        <v>356</v>
      </c>
      <c r="B369" s="1">
        <f t="shared" si="33"/>
        <v>13306.049903583664</v>
      </c>
      <c r="C369" s="1">
        <f t="shared" si="30"/>
        <v>12924.657036679111</v>
      </c>
      <c r="D369" s="1">
        <f t="shared" si="31"/>
        <v>381.39286690455265</v>
      </c>
      <c r="E369" s="1">
        <f t="shared" si="32"/>
        <v>52456.977289815622</v>
      </c>
    </row>
    <row r="370" spans="1:5">
      <c r="A370">
        <f t="shared" si="29"/>
        <v>357</v>
      </c>
      <c r="B370" s="1">
        <f t="shared" si="33"/>
        <v>13306.049903583664</v>
      </c>
      <c r="C370" s="1">
        <f t="shared" si="30"/>
        <v>13000.050869393073</v>
      </c>
      <c r="D370" s="1">
        <f t="shared" si="31"/>
        <v>305.99903419059115</v>
      </c>
      <c r="E370" s="1">
        <f t="shared" si="32"/>
        <v>39456.926420422547</v>
      </c>
    </row>
    <row r="371" spans="1:5">
      <c r="A371">
        <f t="shared" si="29"/>
        <v>358</v>
      </c>
      <c r="B371" s="1">
        <f t="shared" si="33"/>
        <v>13306.049903583664</v>
      </c>
      <c r="C371" s="1">
        <f t="shared" si="30"/>
        <v>13075.884499464531</v>
      </c>
      <c r="D371" s="1">
        <f t="shared" si="31"/>
        <v>230.16540411913152</v>
      </c>
      <c r="E371" s="1">
        <f t="shared" si="32"/>
        <v>26381.041920958014</v>
      </c>
    </row>
    <row r="372" spans="1:5">
      <c r="A372">
        <f t="shared" si="29"/>
        <v>359</v>
      </c>
      <c r="B372" s="1">
        <f t="shared" si="33"/>
        <v>13306.049903583664</v>
      </c>
      <c r="C372" s="1">
        <f t="shared" si="30"/>
        <v>13152.160492378076</v>
      </c>
      <c r="D372" s="1">
        <f t="shared" si="31"/>
        <v>153.88941120558843</v>
      </c>
      <c r="E372" s="1">
        <f t="shared" si="32"/>
        <v>13228.881428579938</v>
      </c>
    </row>
    <row r="373" spans="1:5">
      <c r="A373">
        <f t="shared" si="29"/>
        <v>360</v>
      </c>
      <c r="B373" s="1">
        <f t="shared" si="33"/>
        <v>13306.049903583664</v>
      </c>
      <c r="C373" s="1">
        <f t="shared" si="30"/>
        <v>13228.881428583614</v>
      </c>
      <c r="D373" s="1">
        <f t="shared" si="31"/>
        <v>77.168475000049639</v>
      </c>
      <c r="E373" s="1">
        <f t="shared" si="32"/>
        <v>-3.6761775845661759E-9</v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W5" sqref="W5"/>
    </sheetView>
  </sheetViews>
  <sheetFormatPr defaultRowHeight="15"/>
  <cols>
    <col min="5" max="5" width="21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9"/>
      <c r="J6" s="129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31"/>
      <c r="J7" s="131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31"/>
      <c r="J8" s="131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31"/>
      <c r="J9" s="131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W8" sqref="W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9"/>
      <c r="K6" s="129"/>
    </row>
    <row r="7" spans="6:11">
      <c r="F7" s="66" t="s">
        <v>85</v>
      </c>
      <c r="G7" s="94">
        <f>'Profit and Loss Statement'!E21/'Profit and Loss Statement'!E8</f>
        <v>686682.58884210535</v>
      </c>
      <c r="H7" s="94">
        <f>'Profit and Loss Statement'!F21/'Profit and Loss Statement'!F8</f>
        <v>712954.58456842124</v>
      </c>
      <c r="I7" s="94">
        <f>'Profit and Loss Statement'!G21/'Profit and Loss Statement'!G8</f>
        <v>741002.94460421056</v>
      </c>
      <c r="J7" s="130"/>
      <c r="K7" s="130"/>
    </row>
    <row r="8" spans="6:11">
      <c r="F8" s="117"/>
      <c r="G8" s="117"/>
      <c r="H8" s="117"/>
      <c r="I8" s="117"/>
    </row>
    <row r="9" spans="6:11">
      <c r="F9" s="117"/>
      <c r="G9" s="117"/>
      <c r="H9" s="117"/>
      <c r="I9" s="117"/>
    </row>
    <row r="10" spans="6:11">
      <c r="F10" s="117"/>
      <c r="G10" s="117"/>
      <c r="H10" s="117"/>
      <c r="I10" s="117"/>
    </row>
    <row r="11" spans="6:11">
      <c r="F11" s="114" t="s">
        <v>86</v>
      </c>
      <c r="G11" s="116">
        <f>G7</f>
        <v>686682.58884210535</v>
      </c>
      <c r="H11" s="116">
        <f t="shared" ref="H11:K11" si="0">H7</f>
        <v>712954.58456842124</v>
      </c>
      <c r="I11" s="116">
        <f t="shared" si="0"/>
        <v>741002.94460421056</v>
      </c>
      <c r="J11" s="116">
        <f t="shared" si="0"/>
        <v>0</v>
      </c>
      <c r="K11" s="116">
        <f t="shared" si="0"/>
        <v>0</v>
      </c>
    </row>
    <row r="12" spans="6:11">
      <c r="F12" s="114"/>
      <c r="G12" s="114"/>
      <c r="H12" s="114"/>
      <c r="I12" s="114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P30" sqref="P30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9"/>
      <c r="J6" s="129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31"/>
      <c r="J8" s="131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31"/>
      <c r="J9" s="131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0.19235054681122798</v>
      </c>
      <c r="G12" s="101">
        <f>'Profit and Loss Statement'!F28/'Profit and Loss Statement'!F6</f>
        <v>0.2234682111782002</v>
      </c>
      <c r="H12" s="101">
        <f>'Profit and Loss Statement'!G28/'Profit and Loss Statement'!G6</f>
        <v>0.25210904179426136</v>
      </c>
      <c r="I12" s="131"/>
      <c r="J12" s="131"/>
    </row>
    <row r="13" spans="5:10">
      <c r="E13" s="66" t="s">
        <v>92</v>
      </c>
      <c r="F13" s="105">
        <f>'Balance Sheet'!E10/'Balance Sheet'!E15</f>
        <v>1.1416204064251205</v>
      </c>
      <c r="G13" s="105">
        <f>'Balance Sheet'!F10/'Balance Sheet'!F15</f>
        <v>1.1689489378587561</v>
      </c>
      <c r="H13" s="105">
        <f>'Balance Sheet'!G10/'Balance Sheet'!G15</f>
        <v>1.2084894716880172</v>
      </c>
      <c r="I13" s="132"/>
      <c r="J13" s="132"/>
    </row>
    <row r="14" spans="5:10">
      <c r="E14" s="66" t="s">
        <v>93</v>
      </c>
      <c r="F14" s="105">
        <f>'Balance Sheet'!E17/'Balance Sheet'!E15</f>
        <v>0.14162040642512044</v>
      </c>
      <c r="G14" s="105">
        <f>'Balance Sheet'!F17/'Balance Sheet'!F15</f>
        <v>0.16894893785875612</v>
      </c>
      <c r="H14" s="105">
        <f>'Balance Sheet'!G17/'Balance Sheet'!G15</f>
        <v>0.20848947168801724</v>
      </c>
      <c r="I14" s="132"/>
      <c r="J14" s="132"/>
    </row>
    <row r="15" spans="5:10">
      <c r="E15" s="66" t="s">
        <v>94</v>
      </c>
      <c r="F15" s="105">
        <f>'Balance Sheet'!E10/'Balance Sheet'!E17</f>
        <v>8.0611292909170853</v>
      </c>
      <c r="G15" s="105">
        <f>'Balance Sheet'!F10/'Balance Sheet'!F17</f>
        <v>6.9189481311567356</v>
      </c>
      <c r="H15" s="105">
        <f>'Balance Sheet'!G10/'Balance Sheet'!G17</f>
        <v>5.7964052664318508</v>
      </c>
      <c r="I15" s="132"/>
      <c r="J15" s="132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0.17604469527660824</v>
      </c>
      <c r="G18" s="105">
        <f>'Balance Sheet'!F7/'Balance Sheet'!F10</f>
        <v>0.20571085577421006</v>
      </c>
      <c r="H18" s="105">
        <f>'Balance Sheet'!G7/'Balance Sheet'!G10</f>
        <v>0.23977485779138719</v>
      </c>
      <c r="I18" s="132"/>
      <c r="J18" s="132"/>
    </row>
    <row r="19" spans="5:10">
      <c r="E19" s="66" t="s">
        <v>96</v>
      </c>
      <c r="F19" s="105">
        <f>'Balance Sheet'!E7/'Balance Sheet'!E15</f>
        <v>0.20097621657066797</v>
      </c>
      <c r="G19" s="105">
        <f>'Balance Sheet'!F7/'Balance Sheet'!F15</f>
        <v>0.24046548636327861</v>
      </c>
      <c r="H19" s="105">
        <f>'Balance Sheet'!G7/'Balance Sheet'!G15</f>
        <v>0.28976539121638295</v>
      </c>
      <c r="I19" s="132"/>
      <c r="J19" s="132"/>
    </row>
  </sheetData>
  <sheetProtection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5" sqref="C5:C14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75000</v>
      </c>
      <c r="G5" s="11" t="s">
        <v>9</v>
      </c>
      <c r="H5" s="16">
        <v>1</v>
      </c>
      <c r="I5" s="16">
        <v>2</v>
      </c>
      <c r="J5" s="119">
        <v>3</v>
      </c>
      <c r="M5" s="43"/>
      <c r="N5" s="43"/>
    </row>
    <row r="6" spans="2:14">
      <c r="B6" s="4" t="s">
        <v>120</v>
      </c>
      <c r="C6" s="14">
        <v>50000</v>
      </c>
      <c r="G6" s="4" t="str">
        <f>B5</f>
        <v>Senior Management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20"/>
      <c r="N6" s="120"/>
    </row>
    <row r="7" spans="2:14">
      <c r="B7" s="4" t="s">
        <v>133</v>
      </c>
      <c r="C7" s="14">
        <v>35000</v>
      </c>
      <c r="G7" s="4" t="str">
        <f>B6</f>
        <v>Operational Managers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20"/>
      <c r="N7" s="120"/>
    </row>
    <row r="8" spans="2:14">
      <c r="B8" s="4" t="s">
        <v>129</v>
      </c>
      <c r="C8" s="14">
        <v>40000</v>
      </c>
      <c r="G8" s="4" t="str">
        <f>B7</f>
        <v>Location Staff</v>
      </c>
      <c r="H8" s="14">
        <f t="shared" si="0"/>
        <v>175000</v>
      </c>
      <c r="I8" s="14">
        <f t="shared" si="1"/>
        <v>180250</v>
      </c>
      <c r="J8" s="14">
        <f t="shared" si="2"/>
        <v>185657.5</v>
      </c>
      <c r="M8" s="120"/>
      <c r="N8" s="120"/>
    </row>
    <row r="9" spans="2:14">
      <c r="B9" s="4" t="s">
        <v>134</v>
      </c>
      <c r="C9" s="14">
        <v>50000</v>
      </c>
      <c r="G9" s="4" t="str">
        <f>B8</f>
        <v>Administrative Staff</v>
      </c>
      <c r="H9" s="14">
        <f t="shared" si="0"/>
        <v>40000</v>
      </c>
      <c r="I9" s="14">
        <f t="shared" si="1"/>
        <v>41200</v>
      </c>
      <c r="J9" s="14">
        <f t="shared" si="2"/>
        <v>42436</v>
      </c>
      <c r="M9" s="120"/>
      <c r="N9" s="120"/>
    </row>
    <row r="10" spans="2:14">
      <c r="B10" s="4" t="s">
        <v>122</v>
      </c>
      <c r="C10" s="14">
        <v>0</v>
      </c>
      <c r="G10" s="4" t="str">
        <f>B9</f>
        <v>Accountant</v>
      </c>
      <c r="H10" s="14">
        <f t="shared" si="0"/>
        <v>50000</v>
      </c>
      <c r="I10" s="14">
        <f t="shared" si="1"/>
        <v>51500</v>
      </c>
      <c r="J10" s="14">
        <f t="shared" si="2"/>
        <v>53045</v>
      </c>
      <c r="M10" s="120"/>
      <c r="N10" s="120"/>
    </row>
    <row r="11" spans="2:14">
      <c r="B11" s="4" t="s">
        <v>136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20"/>
      <c r="N11" s="120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20"/>
      <c r="N12" s="120"/>
    </row>
    <row r="13" spans="2:14">
      <c r="B13" s="4" t="s">
        <v>138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20"/>
      <c r="N13" s="120"/>
    </row>
    <row r="14" spans="2:14">
      <c r="B14" s="4" t="s">
        <v>126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20"/>
      <c r="N14" s="120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20"/>
      <c r="N15" s="120"/>
    </row>
    <row r="16" spans="2:14">
      <c r="G16" s="10" t="s">
        <v>8</v>
      </c>
      <c r="H16" s="9">
        <f>SUM(H6:H15)</f>
        <v>390000</v>
      </c>
      <c r="I16" s="9">
        <f t="shared" ref="I16:J16" si="3">SUM(I6:I15)</f>
        <v>401700</v>
      </c>
      <c r="J16" s="9">
        <f t="shared" si="3"/>
        <v>413751</v>
      </c>
      <c r="M16" s="121"/>
      <c r="N16" s="121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Location Staff</v>
      </c>
      <c r="H20" s="4">
        <f t="shared" si="4"/>
        <v>5</v>
      </c>
      <c r="I20" s="4">
        <f t="shared" si="5"/>
        <v>5</v>
      </c>
      <c r="J20" s="4">
        <f t="shared" si="6"/>
        <v>5</v>
      </c>
      <c r="M20" s="30"/>
      <c r="N20" s="30"/>
    </row>
    <row r="21" spans="2:20">
      <c r="G21" s="4" t="str">
        <f>G9</f>
        <v>Administrative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7"/>
      <c r="P21" s="117"/>
      <c r="Q21" s="117"/>
      <c r="R21" s="117"/>
      <c r="S21" s="117"/>
      <c r="T21" s="117"/>
    </row>
    <row r="22" spans="2:20">
      <c r="B22" s="7" t="s">
        <v>61</v>
      </c>
      <c r="C22" s="3"/>
      <c r="D22" s="3"/>
      <c r="E22" s="3"/>
      <c r="G22" s="4" t="str">
        <f t="shared" ref="G22:G27" si="7">G10</f>
        <v>Accountant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7"/>
      <c r="P22" s="117"/>
      <c r="Q22" s="117"/>
      <c r="R22" s="117"/>
      <c r="S22" s="117"/>
      <c r="T22" s="117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7"/>
      <c r="P23" s="117"/>
      <c r="Q23" s="117"/>
      <c r="R23" s="117"/>
      <c r="S23" s="117"/>
      <c r="T23" s="117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3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7"/>
      <c r="P24" s="117"/>
      <c r="Q24" s="117"/>
      <c r="R24" s="117"/>
      <c r="S24" s="117"/>
      <c r="T24" s="117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7"/>
      <c r="P25" s="117"/>
      <c r="Q25" s="117"/>
      <c r="R25" s="117"/>
      <c r="S25" s="117"/>
      <c r="T25" s="117"/>
    </row>
    <row r="26" spans="2:20">
      <c r="B26" s="15" t="str">
        <f>B7</f>
        <v>Location Staff</v>
      </c>
      <c r="C26" s="5">
        <v>5</v>
      </c>
      <c r="D26" s="5">
        <v>5</v>
      </c>
      <c r="E26" s="5">
        <v>5</v>
      </c>
      <c r="F26" s="143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7"/>
      <c r="P26" s="117"/>
      <c r="Q26" s="117"/>
      <c r="R26" s="117"/>
      <c r="S26" s="117"/>
      <c r="T26" s="117"/>
    </row>
    <row r="27" spans="2:20">
      <c r="B27" s="15" t="str">
        <f>B8</f>
        <v>Administrative Staff</v>
      </c>
      <c r="C27" s="5">
        <v>1</v>
      </c>
      <c r="D27" s="5">
        <v>1</v>
      </c>
      <c r="E27" s="5">
        <v>1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7"/>
      <c r="P27" s="117"/>
      <c r="Q27" s="117"/>
      <c r="R27" s="117"/>
      <c r="S27" s="117"/>
      <c r="T27" s="117"/>
    </row>
    <row r="28" spans="2:20">
      <c r="B28" s="15" t="str">
        <f>B9</f>
        <v>Accountant</v>
      </c>
      <c r="C28" s="5">
        <v>1</v>
      </c>
      <c r="D28" s="5">
        <v>1</v>
      </c>
      <c r="E28" s="5">
        <v>1</v>
      </c>
      <c r="F28" s="143"/>
      <c r="G28" s="10" t="s">
        <v>8</v>
      </c>
      <c r="H28" s="10">
        <f>SUM(H18:H27)</f>
        <v>9</v>
      </c>
      <c r="I28" s="10">
        <f t="shared" ref="I28:J28" si="8">SUM(I18:I27)</f>
        <v>9</v>
      </c>
      <c r="J28" s="10">
        <f t="shared" si="8"/>
        <v>9</v>
      </c>
      <c r="M28" s="30"/>
      <c r="N28" s="30"/>
      <c r="O28" s="117"/>
      <c r="P28" s="117"/>
      <c r="Q28" s="117"/>
      <c r="R28" s="117"/>
      <c r="S28" s="117"/>
      <c r="T28" s="117"/>
    </row>
    <row r="29" spans="2:20">
      <c r="B29" s="15" t="s">
        <v>122</v>
      </c>
      <c r="C29" s="5"/>
      <c r="D29" s="5"/>
      <c r="E29" s="5"/>
      <c r="O29" s="117"/>
      <c r="P29" s="117"/>
      <c r="Q29" s="117"/>
      <c r="R29" s="117"/>
      <c r="S29" s="117"/>
      <c r="T29" s="117"/>
    </row>
    <row r="30" spans="2:20">
      <c r="B30" s="15" t="s">
        <v>123</v>
      </c>
      <c r="C30" s="5"/>
      <c r="D30" s="5"/>
      <c r="E30" s="5"/>
      <c r="L30" s="114"/>
      <c r="M30" s="114"/>
      <c r="O30" s="117"/>
      <c r="P30" s="117"/>
      <c r="Q30" s="117"/>
      <c r="R30" s="117"/>
      <c r="S30" s="117"/>
      <c r="T30" s="117"/>
    </row>
    <row r="31" spans="2:20">
      <c r="B31" s="15" t="s">
        <v>124</v>
      </c>
      <c r="C31" s="5"/>
      <c r="D31" s="5"/>
      <c r="E31" s="5"/>
      <c r="L31" s="114" t="str">
        <f>G6</f>
        <v>Senior Management</v>
      </c>
      <c r="M31" s="115">
        <f>J6/$J$16</f>
        <v>0.19230769230769232</v>
      </c>
      <c r="O31" s="117"/>
      <c r="P31" s="117"/>
      <c r="Q31" s="117"/>
      <c r="R31" s="117"/>
      <c r="S31" s="117"/>
      <c r="T31" s="117"/>
    </row>
    <row r="32" spans="2:20">
      <c r="B32" s="15" t="s">
        <v>125</v>
      </c>
      <c r="C32" s="5"/>
      <c r="D32" s="5"/>
      <c r="E32" s="5"/>
      <c r="F32" s="30"/>
      <c r="G32" s="30"/>
      <c r="L32" s="114" t="str">
        <f>G7</f>
        <v>Operational Managers</v>
      </c>
      <c r="M32" s="115">
        <f>J7/$J$16</f>
        <v>0.12820512820512819</v>
      </c>
      <c r="O32" s="117"/>
      <c r="P32" s="117"/>
      <c r="Q32" s="117"/>
      <c r="T32" s="117"/>
    </row>
    <row r="33" spans="2:20">
      <c r="B33" s="15" t="s">
        <v>126</v>
      </c>
      <c r="C33" s="5"/>
      <c r="D33" s="5"/>
      <c r="E33" s="5"/>
      <c r="F33" s="30"/>
      <c r="G33" s="30"/>
      <c r="L33" s="114" t="str">
        <f>G8</f>
        <v>Location Staff</v>
      </c>
      <c r="M33" s="115">
        <f>J8/$J$16</f>
        <v>0.44871794871794873</v>
      </c>
      <c r="O33" s="117"/>
      <c r="P33" s="117"/>
      <c r="Q33" s="117"/>
      <c r="T33" s="117"/>
    </row>
    <row r="34" spans="2:20">
      <c r="F34" s="43"/>
      <c r="G34" s="43"/>
      <c r="L34" s="114" t="str">
        <f>G9</f>
        <v>Administrative Staff</v>
      </c>
      <c r="M34" s="115">
        <f>J9/$J$16</f>
        <v>0.10256410256410256</v>
      </c>
      <c r="O34" s="117"/>
      <c r="P34" s="117"/>
      <c r="Q34" s="117"/>
      <c r="T34" s="117"/>
    </row>
    <row r="35" spans="2:20">
      <c r="F35" s="43"/>
      <c r="G35" s="43"/>
      <c r="L35" s="114" t="str">
        <f>G10</f>
        <v>Accountant</v>
      </c>
      <c r="M35" s="115">
        <f>J10/$J$16</f>
        <v>0.12820512820512819</v>
      </c>
      <c r="O35" s="117"/>
      <c r="P35" s="117"/>
      <c r="Q35" s="117"/>
      <c r="T35" s="117"/>
    </row>
    <row r="36" spans="2:20">
      <c r="F36" s="43"/>
      <c r="G36" s="43"/>
      <c r="L36" s="114"/>
      <c r="M36" s="114"/>
      <c r="O36" s="117"/>
      <c r="P36" s="117"/>
      <c r="Q36" s="117"/>
      <c r="T36" s="117"/>
    </row>
    <row r="37" spans="2:20">
      <c r="F37" s="43"/>
      <c r="G37" s="43"/>
      <c r="L37" s="114"/>
      <c r="M37" s="114"/>
      <c r="O37" s="117"/>
      <c r="P37" s="117"/>
      <c r="Q37" s="117"/>
      <c r="R37" s="117"/>
      <c r="S37" s="118"/>
      <c r="T37" s="117"/>
    </row>
    <row r="38" spans="2:20">
      <c r="F38" s="43"/>
      <c r="G38" s="43"/>
      <c r="Q38" s="114"/>
      <c r="R38" s="114"/>
      <c r="S38" s="115"/>
    </row>
    <row r="39" spans="2:20">
      <c r="F39" s="43"/>
      <c r="G39" s="43"/>
      <c r="S39" s="113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9">B6</f>
        <v>Operational Managers</v>
      </c>
      <c r="C59" s="14">
        <f t="shared" si="9"/>
        <v>50000</v>
      </c>
      <c r="D59" s="14">
        <f t="shared" ref="D59:G59" si="10">C59*(1+$C$53)</f>
        <v>51500</v>
      </c>
      <c r="E59" s="14">
        <f t="shared" si="10"/>
        <v>53045</v>
      </c>
      <c r="F59" s="14">
        <f t="shared" si="10"/>
        <v>54636.35</v>
      </c>
      <c r="G59" s="14">
        <f t="shared" si="10"/>
        <v>56275.440499999997</v>
      </c>
    </row>
    <row r="60" spans="2:7">
      <c r="B60" s="4" t="str">
        <f t="shared" si="9"/>
        <v>Location Staff</v>
      </c>
      <c r="C60" s="14">
        <f t="shared" si="9"/>
        <v>35000</v>
      </c>
      <c r="D60" s="14">
        <f t="shared" ref="D60:G60" si="11">C60*(1+$C$53)</f>
        <v>36050</v>
      </c>
      <c r="E60" s="14">
        <f t="shared" si="11"/>
        <v>37131.5</v>
      </c>
      <c r="F60" s="14">
        <f t="shared" si="11"/>
        <v>38245.445</v>
      </c>
      <c r="G60" s="14">
        <f t="shared" si="11"/>
        <v>39392.808349999999</v>
      </c>
    </row>
    <row r="61" spans="2:7">
      <c r="B61" s="4" t="str">
        <f t="shared" si="9"/>
        <v>Administrative Staff</v>
      </c>
      <c r="C61" s="14">
        <f t="shared" si="9"/>
        <v>40000</v>
      </c>
      <c r="D61" s="14">
        <f t="shared" ref="D61:G61" si="12">C61*(1+$C$53)</f>
        <v>41200</v>
      </c>
      <c r="E61" s="14">
        <f t="shared" si="12"/>
        <v>42436</v>
      </c>
      <c r="F61" s="14">
        <f t="shared" si="12"/>
        <v>43709.08</v>
      </c>
      <c r="G61" s="14">
        <f t="shared" si="12"/>
        <v>45020.352400000003</v>
      </c>
    </row>
    <row r="62" spans="2:7">
      <c r="B62" s="4" t="str">
        <f t="shared" si="9"/>
        <v>Accountant</v>
      </c>
      <c r="C62" s="14">
        <f t="shared" si="9"/>
        <v>50000</v>
      </c>
      <c r="D62" s="14">
        <f t="shared" ref="D62:G62" si="13">C62*(1+$C$53)</f>
        <v>51500</v>
      </c>
      <c r="E62" s="14">
        <f t="shared" si="13"/>
        <v>53045</v>
      </c>
      <c r="F62" s="14">
        <f t="shared" si="13"/>
        <v>54636.35</v>
      </c>
      <c r="G62" s="14">
        <f t="shared" si="13"/>
        <v>56275.440499999997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6" sqref="E26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131</v>
      </c>
      <c r="E6" s="6">
        <v>1925000</v>
      </c>
    </row>
    <row r="7" spans="4:5">
      <c r="D7" s="21" t="s">
        <v>117</v>
      </c>
      <c r="E7" s="6">
        <v>100000</v>
      </c>
    </row>
    <row r="8" spans="4:5">
      <c r="D8" s="21" t="s">
        <v>116</v>
      </c>
      <c r="E8" s="6">
        <v>25000</v>
      </c>
    </row>
    <row r="9" spans="4:5">
      <c r="D9" s="21" t="s">
        <v>0</v>
      </c>
      <c r="E9" s="6">
        <v>200000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2250000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250000</v>
      </c>
    </row>
    <row r="22" spans="4:5">
      <c r="D22" s="4" t="s">
        <v>99</v>
      </c>
      <c r="E22" s="14">
        <v>2000000</v>
      </c>
    </row>
    <row r="23" spans="4:5">
      <c r="D23" s="4" t="s">
        <v>100</v>
      </c>
      <c r="E23" s="14">
        <f>SUM(E21:E22)</f>
        <v>2250000</v>
      </c>
    </row>
    <row r="27" spans="4:5">
      <c r="D27" s="114"/>
    </row>
    <row r="28" spans="4:5">
      <c r="D28" s="123"/>
      <c r="E28" s="1"/>
    </row>
    <row r="29" spans="4:5">
      <c r="D29" s="123"/>
      <c r="E29" s="1"/>
    </row>
    <row r="30" spans="4:5">
      <c r="D30" s="123"/>
      <c r="E30" s="1"/>
    </row>
    <row r="31" spans="4:5">
      <c r="D31" s="123"/>
      <c r="E31" s="1"/>
    </row>
    <row r="32" spans="4:5">
      <c r="D32" s="123"/>
      <c r="E32" s="1"/>
    </row>
    <row r="33" spans="4:5">
      <c r="D33" s="123"/>
      <c r="E33" s="1"/>
    </row>
    <row r="34" spans="4:5">
      <c r="D34" s="123"/>
      <c r="E34" s="1"/>
    </row>
    <row r="35" spans="4:5">
      <c r="D35" s="123"/>
      <c r="E35" s="1"/>
    </row>
    <row r="36" spans="4:5">
      <c r="D36" s="123"/>
      <c r="E36" s="1"/>
    </row>
    <row r="37" spans="4:5">
      <c r="D37" s="123"/>
      <c r="E37" s="1"/>
    </row>
    <row r="38" spans="4:5">
      <c r="D38" s="124"/>
      <c r="E38" s="125"/>
    </row>
    <row r="40" spans="4:5">
      <c r="D40" s="114"/>
    </row>
    <row r="41" spans="4:5">
      <c r="D41" s="123"/>
      <c r="E41" s="1"/>
    </row>
    <row r="42" spans="4:5">
      <c r="D42" s="123"/>
      <c r="E42" s="1"/>
    </row>
    <row r="43" spans="4:5">
      <c r="D43" s="123"/>
      <c r="E43" s="1"/>
    </row>
    <row r="44" spans="4:5">
      <c r="D44" s="123"/>
      <c r="E44" s="1"/>
    </row>
    <row r="45" spans="4:5">
      <c r="D45" s="123"/>
      <c r="E45" s="1"/>
    </row>
    <row r="46" spans="4:5">
      <c r="D46" s="123"/>
      <c r="E46" s="1"/>
    </row>
    <row r="47" spans="4:5">
      <c r="D47" s="123"/>
      <c r="E47" s="1"/>
    </row>
    <row r="48" spans="4:5">
      <c r="D48" s="123"/>
      <c r="E48" s="1"/>
    </row>
    <row r="49" spans="4:5">
      <c r="D49" s="123"/>
      <c r="E49" s="1"/>
    </row>
    <row r="50" spans="4:5">
      <c r="D50" s="123"/>
      <c r="E50" s="1"/>
    </row>
    <row r="51" spans="4:5">
      <c r="D51" s="124"/>
      <c r="E51" s="12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T11" sqref="T11"/>
    </sheetView>
  </sheetViews>
  <sheetFormatPr defaultRowHeight="15"/>
  <cols>
    <col min="4" max="4" width="30.570312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7"/>
      <c r="I5" s="13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</row>
    <row r="6" spans="4:21">
      <c r="D6" s="68" t="s">
        <v>51</v>
      </c>
      <c r="E6" s="69">
        <f>'Revenue Overview'!F16</f>
        <v>1261386</v>
      </c>
      <c r="F6" s="69">
        <f>'Revenue Overview'!G16</f>
        <v>1387524.6</v>
      </c>
      <c r="G6" s="81">
        <f>'Revenue Overview'!H16</f>
        <v>1526277.0600000003</v>
      </c>
      <c r="H6" s="138"/>
      <c r="I6" s="138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</row>
    <row r="7" spans="4:21">
      <c r="D7" s="70" t="s">
        <v>52</v>
      </c>
      <c r="E7" s="71">
        <f>'Revenue Overview'!F31</f>
        <v>63069.3</v>
      </c>
      <c r="F7" s="71">
        <f>'Revenue Overview'!G31</f>
        <v>69376.23000000001</v>
      </c>
      <c r="G7" s="80">
        <f>'Revenue Overview'!H31</f>
        <v>76313.853000000017</v>
      </c>
      <c r="H7" s="139"/>
      <c r="I7" s="139"/>
      <c r="J7" s="117"/>
      <c r="K7" s="114" t="s">
        <v>51</v>
      </c>
      <c r="L7" s="116">
        <f>E6</f>
        <v>1261386</v>
      </c>
      <c r="M7" s="116">
        <f>F6</f>
        <v>1387524.6</v>
      </c>
      <c r="N7" s="116">
        <f>G6</f>
        <v>1526277.0600000003</v>
      </c>
      <c r="O7" s="116"/>
      <c r="P7" s="140"/>
      <c r="Q7" s="117"/>
      <c r="R7" s="117"/>
      <c r="S7" s="117"/>
      <c r="T7" s="117"/>
      <c r="U7" s="117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6">
        <f t="shared" si="0"/>
        <v>0.95</v>
      </c>
      <c r="H8" s="141"/>
      <c r="I8" s="141"/>
      <c r="J8" s="117"/>
      <c r="K8" s="114" t="s">
        <v>76</v>
      </c>
      <c r="L8" s="116">
        <f>E6</f>
        <v>1261386</v>
      </c>
      <c r="M8" s="116">
        <f>F6</f>
        <v>1387524.6</v>
      </c>
      <c r="N8" s="116">
        <f>G6</f>
        <v>1526277.0600000003</v>
      </c>
      <c r="O8" s="116"/>
      <c r="P8" s="140"/>
      <c r="Q8" s="117"/>
      <c r="R8" s="117"/>
      <c r="S8" s="117"/>
      <c r="T8" s="117"/>
      <c r="U8" s="117"/>
    </row>
    <row r="9" spans="4:21">
      <c r="D9" s="74"/>
      <c r="E9" s="74"/>
      <c r="F9" s="74"/>
      <c r="G9" s="74"/>
      <c r="H9" s="142"/>
      <c r="I9" s="142"/>
      <c r="J9" s="117"/>
      <c r="K9" s="114"/>
      <c r="L9" s="116"/>
      <c r="M9" s="116"/>
      <c r="N9" s="116"/>
      <c r="O9" s="116"/>
      <c r="P9" s="140"/>
      <c r="Q9" s="117"/>
      <c r="R9" s="117"/>
      <c r="S9" s="117"/>
      <c r="T9" s="117"/>
      <c r="U9" s="117"/>
    </row>
    <row r="10" spans="4:21">
      <c r="D10" s="75" t="s">
        <v>10</v>
      </c>
      <c r="E10" s="76">
        <f>E6-E7</f>
        <v>1198316.7</v>
      </c>
      <c r="F10" s="76">
        <f t="shared" ref="F10:G10" si="1">F6-F7</f>
        <v>1318148.3700000001</v>
      </c>
      <c r="G10" s="84">
        <f t="shared" si="1"/>
        <v>1449963.2070000002</v>
      </c>
      <c r="H10" s="138"/>
      <c r="I10" s="138"/>
      <c r="J10" s="117"/>
      <c r="K10" s="114" t="s">
        <v>47</v>
      </c>
      <c r="L10" s="116">
        <f>E23</f>
        <v>545968.2405999999</v>
      </c>
      <c r="M10" s="116">
        <f>F23</f>
        <v>640841.51465999999</v>
      </c>
      <c r="N10" s="116">
        <f>G23</f>
        <v>746010.40962600021</v>
      </c>
      <c r="O10" s="116"/>
      <c r="P10" s="140"/>
      <c r="Q10" s="117"/>
      <c r="R10" s="117"/>
      <c r="S10" s="117"/>
      <c r="T10" s="117"/>
      <c r="U10" s="117"/>
    </row>
    <row r="11" spans="4:21">
      <c r="D11" s="74"/>
      <c r="E11" s="74"/>
      <c r="F11" s="74"/>
      <c r="G11" s="74"/>
      <c r="H11" s="142"/>
      <c r="I11" s="142"/>
      <c r="J11" s="117"/>
      <c r="K11" s="114" t="s">
        <v>77</v>
      </c>
      <c r="L11" s="116">
        <f>L10</f>
        <v>545968.2405999999</v>
      </c>
      <c r="M11" s="116">
        <f t="shared" ref="M11:N11" si="2">M10</f>
        <v>640841.51465999999</v>
      </c>
      <c r="N11" s="116">
        <f t="shared" si="2"/>
        <v>746010.40962600021</v>
      </c>
      <c r="O11" s="116"/>
      <c r="P11" s="140"/>
      <c r="Q11" s="117"/>
      <c r="R11" s="117"/>
      <c r="S11" s="117"/>
      <c r="T11" s="117"/>
      <c r="U11" s="117"/>
    </row>
    <row r="12" spans="4:21">
      <c r="D12" s="74" t="s">
        <v>13</v>
      </c>
      <c r="E12" s="74"/>
      <c r="F12" s="74"/>
      <c r="G12" s="74"/>
      <c r="H12" s="142"/>
      <c r="I12" s="142"/>
      <c r="J12" s="117"/>
      <c r="K12" s="114"/>
      <c r="L12" s="114"/>
      <c r="M12" s="114"/>
      <c r="N12" s="114"/>
      <c r="O12" s="114"/>
      <c r="P12" s="117"/>
      <c r="Q12" s="117"/>
      <c r="R12" s="117"/>
      <c r="S12" s="117"/>
      <c r="T12" s="117"/>
      <c r="U12" s="117"/>
    </row>
    <row r="13" spans="4:21">
      <c r="D13" s="77" t="s">
        <v>53</v>
      </c>
      <c r="E13" s="78">
        <f>'Personnel - Editable'!H16</f>
        <v>390000</v>
      </c>
      <c r="F13" s="78">
        <f>'Personnel - Editable'!I16</f>
        <v>401700</v>
      </c>
      <c r="G13" s="78">
        <f>'Personnel - Editable'!J16</f>
        <v>413751</v>
      </c>
      <c r="H13" s="139"/>
      <c r="I13" s="139"/>
      <c r="J13" s="117"/>
      <c r="K13" s="114" t="s">
        <v>75</v>
      </c>
      <c r="L13" s="116">
        <f>E21</f>
        <v>652348.45940000005</v>
      </c>
      <c r="M13" s="116">
        <f>F21</f>
        <v>677306.85534000013</v>
      </c>
      <c r="N13" s="116">
        <f>G21</f>
        <v>703952.79737399996</v>
      </c>
      <c r="O13" s="116"/>
      <c r="P13" s="140"/>
      <c r="Q13" s="117"/>
      <c r="R13" s="117"/>
      <c r="S13" s="117"/>
      <c r="T13" s="117"/>
      <c r="U13" s="117"/>
    </row>
    <row r="14" spans="4:21">
      <c r="D14" s="79" t="str">
        <f>Inputs!B18</f>
        <v>Facility Costs</v>
      </c>
      <c r="E14" s="80">
        <f>Inputs!C18</f>
        <v>150000</v>
      </c>
      <c r="F14" s="80">
        <f>Inputs!D18</f>
        <v>154500</v>
      </c>
      <c r="G14" s="80">
        <f>Inputs!E18</f>
        <v>159135</v>
      </c>
      <c r="H14" s="139"/>
      <c r="I14" s="139"/>
      <c r="J14" s="117"/>
      <c r="K14" s="114" t="s">
        <v>78</v>
      </c>
      <c r="L14" s="116">
        <f>E21</f>
        <v>652348.45940000005</v>
      </c>
      <c r="M14" s="116">
        <f>F21</f>
        <v>677306.85534000013</v>
      </c>
      <c r="N14" s="116">
        <f>G21</f>
        <v>703952.79737399996</v>
      </c>
      <c r="O14" s="116"/>
      <c r="P14" s="140"/>
      <c r="Q14" s="117"/>
      <c r="R14" s="117"/>
      <c r="S14" s="117"/>
      <c r="T14" s="117"/>
      <c r="U14" s="117"/>
    </row>
    <row r="15" spans="4:21">
      <c r="D15" s="106" t="str">
        <f>Inputs!B19</f>
        <v>General and Administrative</v>
      </c>
      <c r="E15" s="78">
        <f>Inputs!C19</f>
        <v>19803.760199999997</v>
      </c>
      <c r="F15" s="78">
        <f>Inputs!D19</f>
        <v>21784.13622</v>
      </c>
      <c r="G15" s="78">
        <f>Inputs!E19</f>
        <v>23962.549842000004</v>
      </c>
      <c r="H15" s="139"/>
      <c r="I15" s="139"/>
      <c r="J15" s="117"/>
      <c r="K15" s="114"/>
      <c r="L15" s="114"/>
      <c r="M15" s="114"/>
      <c r="N15" s="114"/>
      <c r="O15" s="114"/>
      <c r="P15" s="117"/>
      <c r="Q15" s="117"/>
      <c r="R15" s="117"/>
      <c r="S15" s="117"/>
      <c r="T15" s="117"/>
      <c r="U15" s="117"/>
    </row>
    <row r="16" spans="4:21">
      <c r="D16" s="79" t="str">
        <f>Inputs!B20</f>
        <v>Equipment Costs</v>
      </c>
      <c r="E16" s="80">
        <f>Inputs!C20</f>
        <v>19173.067200000001</v>
      </c>
      <c r="F16" s="80">
        <f>Inputs!D20</f>
        <v>21090.373920000002</v>
      </c>
      <c r="G16" s="80">
        <f>Inputs!E20</f>
        <v>23199.411312000004</v>
      </c>
      <c r="H16" s="139"/>
      <c r="I16" s="139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</row>
    <row r="17" spans="4:21">
      <c r="D17" s="106" t="str">
        <f>Inputs!B21</f>
        <v>Insurance Costs</v>
      </c>
      <c r="E17" s="78">
        <f>Inputs!C21</f>
        <v>23400</v>
      </c>
      <c r="F17" s="78">
        <f>Inputs!D21</f>
        <v>24102</v>
      </c>
      <c r="G17" s="78">
        <f>Inputs!E21</f>
        <v>24825.059999999998</v>
      </c>
      <c r="H17" s="139"/>
      <c r="I17" s="139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</row>
    <row r="18" spans="4:21">
      <c r="D18" s="79" t="str">
        <f>Inputs!B22</f>
        <v>Marketing</v>
      </c>
      <c r="E18" s="80">
        <f>Inputs!C22</f>
        <v>15136.632</v>
      </c>
      <c r="F18" s="80">
        <f>Inputs!D22</f>
        <v>16650.2952</v>
      </c>
      <c r="G18" s="80">
        <f>Inputs!E22</f>
        <v>18315.324720000004</v>
      </c>
      <c r="H18" s="139"/>
      <c r="I18" s="139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9"/>
      <c r="I19" s="139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</row>
    <row r="20" spans="4:21">
      <c r="D20" s="79" t="s">
        <v>14</v>
      </c>
      <c r="E20" s="80">
        <f>E13*'Tax Assumptions '!F9</f>
        <v>29835</v>
      </c>
      <c r="F20" s="80">
        <f>F13*'Tax Assumptions '!G9</f>
        <v>30730.05</v>
      </c>
      <c r="G20" s="80">
        <f>G13*'Tax Assumptions '!H9</f>
        <v>31651.951499999999</v>
      </c>
      <c r="H20" s="139"/>
      <c r="I20" s="139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</row>
    <row r="21" spans="4:21">
      <c r="D21" s="68" t="s">
        <v>75</v>
      </c>
      <c r="E21" s="81">
        <f>SUM(E13:E20)</f>
        <v>652348.45940000005</v>
      </c>
      <c r="F21" s="81">
        <f t="shared" ref="F21:G21" si="3">SUM(F13:F20)</f>
        <v>677306.85534000013</v>
      </c>
      <c r="G21" s="81">
        <f t="shared" si="3"/>
        <v>703952.79737399996</v>
      </c>
      <c r="H21" s="138"/>
      <c r="I21" s="138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</row>
    <row r="22" spans="4:21">
      <c r="D22" s="74"/>
      <c r="E22" s="74"/>
      <c r="F22" s="74"/>
      <c r="G22" s="74"/>
      <c r="H22" s="142"/>
      <c r="I22" s="142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</row>
    <row r="23" spans="4:21">
      <c r="D23" s="82" t="s">
        <v>47</v>
      </c>
      <c r="E23" s="83">
        <f>E10-E21</f>
        <v>545968.2405999999</v>
      </c>
      <c r="F23" s="83">
        <f t="shared" ref="F23:G23" si="4">F10-F21</f>
        <v>640841.51465999999</v>
      </c>
      <c r="G23" s="83">
        <f t="shared" si="4"/>
        <v>746010.40962600021</v>
      </c>
      <c r="H23" s="138"/>
      <c r="I23" s="138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</row>
    <row r="24" spans="4:21">
      <c r="D24" s="72" t="s">
        <v>15</v>
      </c>
      <c r="E24" s="78">
        <f>(E23-E26-E27)*'Tax Assumptions '!F7</f>
        <v>86652.959585724137</v>
      </c>
      <c r="F24" s="78">
        <f>(F23-F26-F27)*'Tax Assumptions '!G7</f>
        <v>110738.44297419564</v>
      </c>
      <c r="G24" s="78">
        <f>(G23-G26-G27)*'Tax Assumptions '!H7</f>
        <v>137424.37396755803</v>
      </c>
      <c r="H24" s="139"/>
      <c r="I24" s="139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</row>
    <row r="25" spans="4:21">
      <c r="D25" s="70" t="s">
        <v>102</v>
      </c>
      <c r="E25" s="80">
        <f>(E23-E26-E27)*'Tax Assumptions '!F8</f>
        <v>17330.591917144829</v>
      </c>
      <c r="F25" s="80">
        <f>(F23-F26-F27)*'Tax Assumptions '!G8</f>
        <v>22147.688594839128</v>
      </c>
      <c r="G25" s="80">
        <f>(G23-G26-G27)*'Tax Assumptions '!H8</f>
        <v>27484.874793511608</v>
      </c>
      <c r="H25" s="139"/>
      <c r="I25" s="139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</row>
    <row r="26" spans="4:21">
      <c r="D26" s="72" t="s">
        <v>16</v>
      </c>
      <c r="E26" s="78">
        <f>SUM('Loan Amortization Table'!D14:D25)</f>
        <v>139356.40225710333</v>
      </c>
      <c r="F26" s="78">
        <f>SUM('Loan Amortization Table'!D26:D37)</f>
        <v>137887.74276321739</v>
      </c>
      <c r="G26" s="78">
        <f>SUM('Loan Amortization Table'!D38:D49)</f>
        <v>136312.91375576815</v>
      </c>
      <c r="H26" s="130"/>
      <c r="I26" s="130"/>
    </row>
    <row r="27" spans="4:21">
      <c r="D27" s="70" t="s">
        <v>54</v>
      </c>
      <c r="E27" s="80">
        <v>60000</v>
      </c>
      <c r="F27" s="80">
        <v>60000</v>
      </c>
      <c r="G27" s="80">
        <v>60000</v>
      </c>
      <c r="H27" s="130"/>
      <c r="I27" s="130"/>
    </row>
    <row r="28" spans="4:21">
      <c r="D28" s="82" t="s">
        <v>17</v>
      </c>
      <c r="E28" s="83">
        <f>E23-SUM(E24:E27)</f>
        <v>242628.28684002761</v>
      </c>
      <c r="F28" s="83">
        <f t="shared" ref="F28:G28" si="5">F23-SUM(F24:F27)</f>
        <v>310067.64032774779</v>
      </c>
      <c r="G28" s="83">
        <f t="shared" si="5"/>
        <v>384788.24710916239</v>
      </c>
      <c r="H28" s="134"/>
      <c r="I28" s="134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9"/>
      <c r="I31" s="129"/>
      <c r="K31" s="1"/>
      <c r="L31" s="1"/>
      <c r="M31" s="1"/>
    </row>
    <row r="32" spans="4:21">
      <c r="D32" s="68" t="s">
        <v>51</v>
      </c>
      <c r="E32" s="69">
        <f>E6</f>
        <v>1261386</v>
      </c>
      <c r="F32" s="69">
        <f t="shared" ref="F32:G32" si="6">F6</f>
        <v>1387524.6</v>
      </c>
      <c r="G32" s="81">
        <f t="shared" si="6"/>
        <v>1526277.0600000003</v>
      </c>
      <c r="H32" s="134"/>
      <c r="I32" s="134"/>
    </row>
    <row r="33" spans="4:13">
      <c r="D33" s="70" t="s">
        <v>52</v>
      </c>
      <c r="E33" s="71">
        <f>E7</f>
        <v>63069.3</v>
      </c>
      <c r="F33" s="71">
        <f t="shared" ref="F33:G33" si="7">F7</f>
        <v>69376.23000000001</v>
      </c>
      <c r="G33" s="80">
        <f t="shared" si="7"/>
        <v>76313.853000000017</v>
      </c>
      <c r="H33" s="130"/>
      <c r="I33" s="130"/>
    </row>
    <row r="34" spans="4:13">
      <c r="D34" s="68" t="s">
        <v>10</v>
      </c>
      <c r="E34" s="69">
        <f>E10</f>
        <v>1198316.7</v>
      </c>
      <c r="F34" s="69">
        <f t="shared" ref="F34:G34" si="8">F10</f>
        <v>1318148.3700000001</v>
      </c>
      <c r="G34" s="81">
        <f t="shared" si="8"/>
        <v>1449963.2070000002</v>
      </c>
      <c r="H34" s="134"/>
      <c r="I34" s="134"/>
      <c r="K34" s="1"/>
      <c r="L34" s="1"/>
      <c r="M34" s="1"/>
    </row>
    <row r="35" spans="4:13">
      <c r="D35" s="75" t="s">
        <v>13</v>
      </c>
      <c r="E35" s="84">
        <f>E21</f>
        <v>652348.45940000005</v>
      </c>
      <c r="F35" s="84">
        <f t="shared" ref="F35:G35" si="9">F21</f>
        <v>677306.85534000013</v>
      </c>
      <c r="G35" s="84">
        <f t="shared" si="9"/>
        <v>703952.79737399996</v>
      </c>
      <c r="H35" s="134"/>
      <c r="I35" s="134"/>
    </row>
    <row r="36" spans="4:13">
      <c r="D36" s="82" t="s">
        <v>47</v>
      </c>
      <c r="E36" s="83">
        <f>E23</f>
        <v>545968.2405999999</v>
      </c>
      <c r="F36" s="83">
        <f t="shared" ref="F36:G36" si="10">F23</f>
        <v>640841.51465999999</v>
      </c>
      <c r="G36" s="83">
        <f t="shared" si="10"/>
        <v>746010.40962600021</v>
      </c>
      <c r="H36" s="134"/>
      <c r="I36" s="134"/>
    </row>
    <row r="38" spans="4:13">
      <c r="D38" s="117"/>
      <c r="E38" s="117"/>
      <c r="F38" s="117"/>
      <c r="G38" s="117"/>
    </row>
    <row r="39" spans="4:13">
      <c r="D39" s="117"/>
      <c r="E39" s="117"/>
      <c r="F39" s="117"/>
      <c r="G39" s="117"/>
    </row>
    <row r="40" spans="4:13">
      <c r="D40" s="117"/>
      <c r="E40" s="117"/>
      <c r="F40" s="117"/>
      <c r="G40" s="117"/>
    </row>
    <row r="41" spans="4:13">
      <c r="D41" s="117"/>
      <c r="E41" s="117"/>
      <c r="F41" s="117"/>
      <c r="G41" s="117"/>
    </row>
    <row r="42" spans="4:13">
      <c r="D42" s="117"/>
      <c r="E42" s="117"/>
      <c r="F42" s="117"/>
      <c r="G42" s="117"/>
    </row>
    <row r="43" spans="4:13">
      <c r="D43" s="117"/>
      <c r="E43" s="117"/>
      <c r="F43" s="117"/>
      <c r="G43" s="117"/>
    </row>
    <row r="44" spans="4:13">
      <c r="D44" s="117"/>
      <c r="E44" s="117"/>
      <c r="F44" s="117"/>
      <c r="G44" s="117"/>
    </row>
    <row r="45" spans="4:13">
      <c r="D45" s="117"/>
      <c r="E45" s="117"/>
      <c r="F45" s="117"/>
      <c r="G45" s="117"/>
    </row>
    <row r="46" spans="4:13">
      <c r="D46" s="117"/>
      <c r="E46" s="117"/>
      <c r="F46" s="117"/>
      <c r="G46" s="117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U12" sqref="U12"/>
    </sheetView>
  </sheetViews>
  <sheetFormatPr defaultRowHeight="15"/>
  <cols>
    <col min="4" max="4" width="24.710937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9"/>
      <c r="I5" s="129"/>
    </row>
    <row r="6" spans="4:9">
      <c r="D6" s="68" t="s">
        <v>67</v>
      </c>
      <c r="E6" s="81">
        <f>'Profit and Loss Statement'!E28+'Profit and Loss Statement'!E27</f>
        <v>302628.28684002761</v>
      </c>
      <c r="F6" s="81">
        <f>'Profit and Loss Statement'!F28+'Profit and Loss Statement'!F27</f>
        <v>370067.64032774779</v>
      </c>
      <c r="G6" s="81">
        <f>'Profit and Loss Statement'!G28+'Profit and Loss Statement'!G27</f>
        <v>444788.24710916239</v>
      </c>
      <c r="H6" s="134"/>
      <c r="I6" s="134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250000</v>
      </c>
      <c r="F9" s="87">
        <v>0</v>
      </c>
      <c r="G9" s="87">
        <v>0</v>
      </c>
      <c r="H9" s="133"/>
      <c r="I9" s="133"/>
    </row>
    <row r="10" spans="4:9">
      <c r="D10" s="70" t="s">
        <v>21</v>
      </c>
      <c r="E10" s="88">
        <f>'Use of Funds'!E22</f>
        <v>2000000</v>
      </c>
      <c r="F10" s="88">
        <v>0</v>
      </c>
      <c r="G10" s="88">
        <v>0</v>
      </c>
      <c r="H10" s="133"/>
      <c r="I10" s="133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30"/>
      <c r="I11" s="130"/>
    </row>
    <row r="12" spans="4:9">
      <c r="D12" s="75" t="s">
        <v>23</v>
      </c>
      <c r="E12" s="89">
        <f>SUM(E9:E11)</f>
        <v>2260000</v>
      </c>
      <c r="F12" s="89">
        <f t="shared" ref="F12:G12" si="0">SUM(F9:F11)</f>
        <v>10200</v>
      </c>
      <c r="G12" s="89">
        <f t="shared" si="0"/>
        <v>10404</v>
      </c>
      <c r="H12" s="135"/>
      <c r="I12" s="135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2562628.2868400277</v>
      </c>
      <c r="F15" s="90">
        <f t="shared" ref="F15:G15" si="1">F12+F6</f>
        <v>380267.64032774779</v>
      </c>
      <c r="G15" s="90">
        <f t="shared" si="1"/>
        <v>455192.24710916239</v>
      </c>
      <c r="H15" s="135"/>
      <c r="I15" s="135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20316.196585900638</v>
      </c>
      <c r="F18" s="80">
        <f>SUM('Loan Amortization Table'!C26:C37)</f>
        <v>21784.856079786568</v>
      </c>
      <c r="G18" s="80">
        <f>SUM('Loan Amortization Table'!C38:C49)</f>
        <v>23359.685087235815</v>
      </c>
      <c r="H18" s="130"/>
      <c r="I18" s="130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30"/>
      <c r="I19" s="130"/>
    </row>
    <row r="20" spans="4:9">
      <c r="D20" s="70" t="s">
        <v>33</v>
      </c>
      <c r="E20" s="80">
        <f>'Use of Funds'!$E$6</f>
        <v>1925000</v>
      </c>
      <c r="F20" s="80">
        <f>F6*0.05</f>
        <v>18503.38201638739</v>
      </c>
      <c r="G20" s="80">
        <f>G6*0.05</f>
        <v>22239.41235545812</v>
      </c>
      <c r="H20" s="130"/>
      <c r="I20" s="130"/>
    </row>
    <row r="21" spans="4:9">
      <c r="D21" s="72" t="s">
        <v>32</v>
      </c>
      <c r="E21" s="78">
        <f>E6*0.7</f>
        <v>211839.80078801932</v>
      </c>
      <c r="F21" s="78">
        <f t="shared" ref="F21:G21" si="3">F6*0.7</f>
        <v>259047.34822942343</v>
      </c>
      <c r="G21" s="78">
        <f t="shared" si="3"/>
        <v>311351.77297641366</v>
      </c>
      <c r="H21" s="130"/>
      <c r="I21" s="130"/>
    </row>
    <row r="22" spans="4:9">
      <c r="D22" s="75" t="s">
        <v>26</v>
      </c>
      <c r="E22" s="84">
        <f>SUM(E18:E21)</f>
        <v>2164155.9973739199</v>
      </c>
      <c r="F22" s="84">
        <f t="shared" ref="F22:G22" si="4">SUM(F18:F21)</f>
        <v>306475.58632559737</v>
      </c>
      <c r="G22" s="84">
        <f t="shared" si="4"/>
        <v>364233.6704191076</v>
      </c>
      <c r="H22" s="134"/>
      <c r="I22" s="134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398472.28946610773</v>
      </c>
      <c r="F24" s="91">
        <f t="shared" ref="F24:G24" si="5">F15-F22</f>
        <v>73792.054002150428</v>
      </c>
      <c r="G24" s="91">
        <f t="shared" si="5"/>
        <v>90958.57669005479</v>
      </c>
      <c r="H24" s="135"/>
      <c r="I24" s="135"/>
    </row>
    <row r="25" spans="4:9">
      <c r="D25" s="82" t="s">
        <v>6</v>
      </c>
      <c r="E25" s="91">
        <f>E24</f>
        <v>398472.28946610773</v>
      </c>
      <c r="F25" s="91">
        <f>E25+F24</f>
        <v>472264.34346825816</v>
      </c>
      <c r="G25" s="91">
        <f>F25+G24</f>
        <v>563222.92015831289</v>
      </c>
      <c r="H25" s="135"/>
      <c r="I25" s="135"/>
    </row>
    <row r="28" spans="4:9">
      <c r="D28" s="114" t="s">
        <v>79</v>
      </c>
      <c r="E28" s="116">
        <f>E6</f>
        <v>302628.28684002761</v>
      </c>
      <c r="F28" s="116">
        <f t="shared" ref="F28:G28" si="6">F6</f>
        <v>370067.64032774779</v>
      </c>
      <c r="G28" s="116">
        <f t="shared" si="6"/>
        <v>444788.24710916239</v>
      </c>
      <c r="H28" s="1"/>
      <c r="I28" s="1"/>
    </row>
    <row r="29" spans="4:9">
      <c r="D29" s="114" t="s">
        <v>80</v>
      </c>
      <c r="E29" s="116">
        <f>E18</f>
        <v>20316.196585900638</v>
      </c>
      <c r="F29" s="116">
        <f t="shared" ref="F29:G29" si="7">F18</f>
        <v>21784.856079786568</v>
      </c>
      <c r="G29" s="116">
        <f t="shared" si="7"/>
        <v>23359.685087235815</v>
      </c>
      <c r="H29" s="1"/>
      <c r="I29" s="1"/>
    </row>
    <row r="30" spans="4:9">
      <c r="D30" s="114" t="s">
        <v>81</v>
      </c>
      <c r="E30" s="116">
        <f>E21</f>
        <v>211839.80078801932</v>
      </c>
      <c r="F30" s="116">
        <f t="shared" ref="F30:G30" si="8">F21</f>
        <v>259047.34822942343</v>
      </c>
      <c r="G30" s="116">
        <f t="shared" si="8"/>
        <v>311351.77297641366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workbookViewId="0">
      <selection activeCell="U10" sqref="U10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9"/>
      <c r="I5" s="129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398472.28946610773</v>
      </c>
      <c r="F7" s="78">
        <f>'Cash Flow Analysis'!F25</f>
        <v>472264.34346825816</v>
      </c>
      <c r="G7" s="78">
        <f>'Cash Flow Analysis'!G25</f>
        <v>563222.92015831289</v>
      </c>
      <c r="H7" s="130"/>
      <c r="I7" s="130"/>
    </row>
    <row r="8" spans="4:9">
      <c r="D8" s="66" t="s">
        <v>127</v>
      </c>
      <c r="E8" s="94">
        <f>'Cash Flow Analysis'!E20</f>
        <v>1925000</v>
      </c>
      <c r="F8" s="94">
        <f>E8+'Cash Flow Analysis'!F20</f>
        <v>1943503.3820163873</v>
      </c>
      <c r="G8" s="94">
        <f>F8+'Cash Flow Analysis'!G20</f>
        <v>1965742.7943718454</v>
      </c>
      <c r="H8" s="130"/>
      <c r="I8" s="130"/>
    </row>
    <row r="9" spans="4:9">
      <c r="D9" s="72" t="s">
        <v>48</v>
      </c>
      <c r="E9" s="87">
        <f>-'Profit and Loss Statement'!E27</f>
        <v>-60000</v>
      </c>
      <c r="F9" s="87">
        <f>E9-'Profit and Loss Statement'!F27</f>
        <v>-120000</v>
      </c>
      <c r="G9" s="87">
        <f>F9-'Profit and Loss Statement'!G27</f>
        <v>-180000</v>
      </c>
      <c r="H9" s="133"/>
      <c r="I9" s="133"/>
    </row>
    <row r="10" spans="4:9">
      <c r="D10" s="95" t="s">
        <v>7</v>
      </c>
      <c r="E10" s="96">
        <f>SUM(E7:E9)</f>
        <v>2263472.2894661077</v>
      </c>
      <c r="F10" s="96">
        <f t="shared" ref="F10:G10" si="0">SUM(F7:F9)</f>
        <v>2295767.7254846455</v>
      </c>
      <c r="G10" s="96">
        <f t="shared" si="0"/>
        <v>2348965.7145301583</v>
      </c>
      <c r="H10" s="134"/>
      <c r="I10" s="134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30"/>
      <c r="I13" s="130"/>
    </row>
    <row r="14" spans="4:9">
      <c r="D14" s="66" t="s">
        <v>73</v>
      </c>
      <c r="E14" s="94">
        <f>'Loan Amortization Table'!E25</f>
        <v>1979683.8034140994</v>
      </c>
      <c r="F14" s="94">
        <f>'Loan Amortization Table'!E37</f>
        <v>1957898.9473343126</v>
      </c>
      <c r="G14" s="94">
        <f>'Loan Amortization Table'!E49</f>
        <v>1934539.2622470767</v>
      </c>
      <c r="H14" s="130"/>
      <c r="I14" s="130"/>
    </row>
    <row r="15" spans="4:9">
      <c r="D15" s="68" t="s">
        <v>30</v>
      </c>
      <c r="E15" s="81">
        <f>SUM(E13:E14)</f>
        <v>1982683.8034140994</v>
      </c>
      <c r="F15" s="81">
        <f t="shared" ref="F15:G15" si="1">SUM(F13:F14)</f>
        <v>1963958.9473343126</v>
      </c>
      <c r="G15" s="81">
        <f t="shared" si="1"/>
        <v>1943720.4622470767</v>
      </c>
      <c r="H15" s="134"/>
      <c r="I15" s="134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280788.48605200835</v>
      </c>
      <c r="F17" s="83">
        <f t="shared" ref="F17:G17" si="2">F10-F15</f>
        <v>331808.77815033286</v>
      </c>
      <c r="G17" s="83">
        <f t="shared" si="2"/>
        <v>405245.25228308165</v>
      </c>
      <c r="H17" s="134"/>
      <c r="I17" s="134"/>
    </row>
    <row r="18" spans="4:9">
      <c r="D18" s="82" t="s">
        <v>31</v>
      </c>
      <c r="E18" s="83">
        <f>E15+E17</f>
        <v>2263472.2894661077</v>
      </c>
      <c r="F18" s="83">
        <f t="shared" ref="F18:G18" si="3">F15+F17</f>
        <v>2295767.7254846455</v>
      </c>
      <c r="G18" s="83">
        <f t="shared" si="3"/>
        <v>2348965.7145301583</v>
      </c>
      <c r="H18" s="134"/>
      <c r="I18" s="134"/>
    </row>
    <row r="21" spans="4:9">
      <c r="D21" s="114" t="s">
        <v>82</v>
      </c>
      <c r="E21" s="116">
        <f>E10-1</f>
        <v>2263471.2894661077</v>
      </c>
      <c r="F21" s="116">
        <f t="shared" ref="F21:G21" si="4">F10-1</f>
        <v>2295766.7254846455</v>
      </c>
      <c r="G21" s="116">
        <f t="shared" si="4"/>
        <v>2348964.7145301583</v>
      </c>
      <c r="H21" s="116">
        <f t="shared" ref="H21:I21" si="5">H10-1</f>
        <v>-1</v>
      </c>
      <c r="I21" s="116">
        <f t="shared" si="5"/>
        <v>-1</v>
      </c>
    </row>
    <row r="22" spans="4:9">
      <c r="D22" s="114" t="s">
        <v>83</v>
      </c>
      <c r="E22" s="116">
        <f>E15</f>
        <v>1982683.8034140994</v>
      </c>
      <c r="F22" s="116">
        <f t="shared" ref="F22:G22" si="6">F15</f>
        <v>1963958.9473343126</v>
      </c>
      <c r="G22" s="116">
        <f t="shared" si="6"/>
        <v>1943720.4622470767</v>
      </c>
      <c r="H22" s="116">
        <f t="shared" ref="H22:I22" si="7">H15</f>
        <v>0</v>
      </c>
      <c r="I22" s="116">
        <f t="shared" si="7"/>
        <v>0</v>
      </c>
    </row>
    <row r="23" spans="4:9">
      <c r="D23" s="114" t="s">
        <v>84</v>
      </c>
      <c r="E23" s="116">
        <f>E17</f>
        <v>280788.48605200835</v>
      </c>
      <c r="F23" s="116">
        <f t="shared" ref="F23:G23" si="8">F17</f>
        <v>331808.77815033286</v>
      </c>
      <c r="G23" s="116">
        <f t="shared" si="8"/>
        <v>405245.25228308165</v>
      </c>
      <c r="H23" s="116">
        <f t="shared" ref="H23:I23" si="9">H17</f>
        <v>0</v>
      </c>
      <c r="I23" s="116">
        <f t="shared" si="9"/>
        <v>0</v>
      </c>
    </row>
    <row r="24" spans="4:9">
      <c r="D24" s="114"/>
      <c r="E24" s="116"/>
      <c r="F24" s="116"/>
      <c r="G24" s="116"/>
      <c r="H24" s="114"/>
      <c r="I24" s="114"/>
    </row>
    <row r="25" spans="4:9">
      <c r="D25" s="114"/>
      <c r="E25" s="116"/>
      <c r="F25" s="116"/>
      <c r="G25" s="116"/>
      <c r="H25" s="114"/>
      <c r="I25" s="114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M38" sqref="M38"/>
    </sheetView>
  </sheetViews>
  <sheetFormatPr defaultRowHeight="15"/>
  <cols>
    <col min="2" max="2" width="29.4257812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105000</v>
      </c>
      <c r="D6" s="6">
        <f>Inputs!D42</f>
        <v>105021</v>
      </c>
      <c r="E6" s="6">
        <f>Inputs!E42</f>
        <v>105042</v>
      </c>
      <c r="F6" s="6">
        <f>Inputs!F42</f>
        <v>105063</v>
      </c>
      <c r="G6" s="6">
        <f>Inputs!G42</f>
        <v>105084</v>
      </c>
      <c r="H6" s="6">
        <f>Inputs!H42</f>
        <v>105105</v>
      </c>
      <c r="I6" s="6">
        <f>Inputs!I42</f>
        <v>105126</v>
      </c>
    </row>
    <row r="7" spans="2:9">
      <c r="B7" s="31" t="s">
        <v>52</v>
      </c>
      <c r="C7" s="6">
        <f>Inputs!C61</f>
        <v>5250</v>
      </c>
      <c r="D7" s="6">
        <f>Inputs!D61</f>
        <v>5251.05</v>
      </c>
      <c r="E7" s="6">
        <f>Inputs!E61</f>
        <v>5252.1</v>
      </c>
      <c r="F7" s="6">
        <f>Inputs!F61</f>
        <v>5253.15</v>
      </c>
      <c r="G7" s="6">
        <f>Inputs!G61</f>
        <v>5254.2</v>
      </c>
      <c r="H7" s="6">
        <f>Inputs!H61</f>
        <v>5255.25</v>
      </c>
      <c r="I7" s="6">
        <f>Inputs!I61</f>
        <v>5256.3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99750</v>
      </c>
      <c r="D10" s="6">
        <f t="shared" ref="D10:I10" si="2">D6-D7</f>
        <v>99769.95</v>
      </c>
      <c r="E10" s="6">
        <f t="shared" si="2"/>
        <v>99789.9</v>
      </c>
      <c r="F10" s="6">
        <f t="shared" si="2"/>
        <v>99809.85</v>
      </c>
      <c r="G10" s="6">
        <f t="shared" si="2"/>
        <v>99829.8</v>
      </c>
      <c r="H10" s="6">
        <f t="shared" si="2"/>
        <v>99849.75</v>
      </c>
      <c r="I10" s="6">
        <f t="shared" si="2"/>
        <v>99869.7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32500</v>
      </c>
      <c r="D13" s="6">
        <f t="shared" ref="D13:I13" si="3">$H$41/12</f>
        <v>32500</v>
      </c>
      <c r="E13" s="6">
        <f t="shared" si="3"/>
        <v>32500</v>
      </c>
      <c r="F13" s="6">
        <f t="shared" si="3"/>
        <v>32500</v>
      </c>
      <c r="G13" s="6">
        <f t="shared" si="3"/>
        <v>32500</v>
      </c>
      <c r="H13" s="6">
        <f t="shared" si="3"/>
        <v>32500</v>
      </c>
      <c r="I13" s="6">
        <f t="shared" si="3"/>
        <v>32500</v>
      </c>
    </row>
    <row r="14" spans="2:9">
      <c r="B14" s="33" t="str">
        <f>'Profit and Loss Statement'!D14</f>
        <v>Facility Costs</v>
      </c>
      <c r="C14" s="6">
        <f>$H$42/12</f>
        <v>12500</v>
      </c>
      <c r="D14" s="6">
        <f t="shared" ref="D14:I14" si="4">$H$42/12</f>
        <v>12500</v>
      </c>
      <c r="E14" s="6">
        <f t="shared" si="4"/>
        <v>12500</v>
      </c>
      <c r="F14" s="6">
        <f t="shared" si="4"/>
        <v>12500</v>
      </c>
      <c r="G14" s="6">
        <f t="shared" si="4"/>
        <v>12500</v>
      </c>
      <c r="H14" s="6">
        <f t="shared" si="4"/>
        <v>12500</v>
      </c>
      <c r="I14" s="6">
        <f t="shared" si="4"/>
        <v>12500</v>
      </c>
    </row>
    <row r="15" spans="2:9">
      <c r="B15" s="33" t="str">
        <f>'Profit and Loss Statement'!D15</f>
        <v>General and Administrative</v>
      </c>
      <c r="C15" s="6">
        <f>$H$43/12</f>
        <v>1650.3133499999997</v>
      </c>
      <c r="D15" s="6">
        <f t="shared" ref="D15:I15" si="5">$H$43/12</f>
        <v>1650.3133499999997</v>
      </c>
      <c r="E15" s="6">
        <f t="shared" si="5"/>
        <v>1650.3133499999997</v>
      </c>
      <c r="F15" s="6">
        <f t="shared" si="5"/>
        <v>1650.3133499999997</v>
      </c>
      <c r="G15" s="6">
        <f t="shared" si="5"/>
        <v>1650.3133499999997</v>
      </c>
      <c r="H15" s="6">
        <f t="shared" si="5"/>
        <v>1650.3133499999997</v>
      </c>
      <c r="I15" s="6">
        <f t="shared" si="5"/>
        <v>1650.3133499999997</v>
      </c>
    </row>
    <row r="16" spans="2:9">
      <c r="B16" s="33" t="str">
        <f>'Profit and Loss Statement'!D16</f>
        <v>Equipment Costs</v>
      </c>
      <c r="C16" s="6">
        <f>$H$44/12</f>
        <v>1597.7556000000002</v>
      </c>
      <c r="D16" s="6">
        <f t="shared" ref="D16:I16" si="6">$H$44/12</f>
        <v>1597.7556000000002</v>
      </c>
      <c r="E16" s="6">
        <f t="shared" si="6"/>
        <v>1597.7556000000002</v>
      </c>
      <c r="F16" s="6">
        <f t="shared" si="6"/>
        <v>1597.7556000000002</v>
      </c>
      <c r="G16" s="6">
        <f t="shared" si="6"/>
        <v>1597.7556000000002</v>
      </c>
      <c r="H16" s="6">
        <f t="shared" si="6"/>
        <v>1597.7556000000002</v>
      </c>
      <c r="I16" s="6">
        <f t="shared" si="6"/>
        <v>1597.7556000000002</v>
      </c>
    </row>
    <row r="17" spans="2:9">
      <c r="B17" s="33" t="str">
        <f>'Profit and Loss Statement'!D17</f>
        <v>Insurance Costs</v>
      </c>
      <c r="C17" s="6">
        <f>$H$45/12</f>
        <v>1950</v>
      </c>
      <c r="D17" s="6">
        <f t="shared" ref="D17:I17" si="7">$H$45/12</f>
        <v>1950</v>
      </c>
      <c r="E17" s="6">
        <f t="shared" si="7"/>
        <v>1950</v>
      </c>
      <c r="F17" s="6">
        <f t="shared" si="7"/>
        <v>1950</v>
      </c>
      <c r="G17" s="6">
        <f t="shared" si="7"/>
        <v>1950</v>
      </c>
      <c r="H17" s="6">
        <f t="shared" si="7"/>
        <v>1950</v>
      </c>
      <c r="I17" s="6">
        <f t="shared" si="7"/>
        <v>1950</v>
      </c>
    </row>
    <row r="18" spans="2:9">
      <c r="B18" s="33" t="str">
        <f>'Profit and Loss Statement'!D18</f>
        <v>Marketing</v>
      </c>
      <c r="C18" s="6">
        <f>$H$46/12</f>
        <v>1261.386</v>
      </c>
      <c r="D18" s="6">
        <f t="shared" ref="D18:I18" si="8">$H$46/12</f>
        <v>1261.386</v>
      </c>
      <c r="E18" s="6">
        <f t="shared" si="8"/>
        <v>1261.386</v>
      </c>
      <c r="F18" s="6">
        <f t="shared" si="8"/>
        <v>1261.386</v>
      </c>
      <c r="G18" s="6">
        <f t="shared" si="8"/>
        <v>1261.386</v>
      </c>
      <c r="H18" s="6">
        <f t="shared" si="8"/>
        <v>1261.386</v>
      </c>
      <c r="I18" s="6">
        <f t="shared" si="8"/>
        <v>1261.386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2486.25</v>
      </c>
      <c r="D20" s="6">
        <f t="shared" ref="D20:I20" si="10">$H$48/12</f>
        <v>2486.25</v>
      </c>
      <c r="E20" s="6">
        <f t="shared" si="10"/>
        <v>2486.25</v>
      </c>
      <c r="F20" s="6">
        <f t="shared" si="10"/>
        <v>2486.25</v>
      </c>
      <c r="G20" s="6">
        <f t="shared" si="10"/>
        <v>2486.25</v>
      </c>
      <c r="H20" s="6">
        <f t="shared" si="10"/>
        <v>2486.25</v>
      </c>
      <c r="I20" s="6">
        <f t="shared" si="10"/>
        <v>2486.25</v>
      </c>
    </row>
    <row r="21" spans="2:9">
      <c r="B21" s="28" t="s">
        <v>8</v>
      </c>
      <c r="C21" s="6">
        <f>SUM(C13:C20)</f>
        <v>54362.371616666656</v>
      </c>
      <c r="D21" s="6">
        <f t="shared" ref="D21:I21" si="11">SUM(D13:D20)</f>
        <v>54362.371616666656</v>
      </c>
      <c r="E21" s="6">
        <f t="shared" si="11"/>
        <v>54362.371616666656</v>
      </c>
      <c r="F21" s="6">
        <f t="shared" si="11"/>
        <v>54362.371616666656</v>
      </c>
      <c r="G21" s="6">
        <f t="shared" si="11"/>
        <v>54362.371616666656</v>
      </c>
      <c r="H21" s="6">
        <f t="shared" si="11"/>
        <v>54362.371616666656</v>
      </c>
      <c r="I21" s="6">
        <f t="shared" si="11"/>
        <v>54362.371616666656</v>
      </c>
    </row>
    <row r="22" spans="2:9">
      <c r="B22" s="30"/>
    </row>
    <row r="23" spans="2:9">
      <c r="B23" s="24" t="s">
        <v>47</v>
      </c>
      <c r="C23" s="25">
        <f>C10-C21</f>
        <v>45387.628383333344</v>
      </c>
      <c r="D23" s="25">
        <f t="shared" ref="D23:I23" si="12">D10-D21</f>
        <v>45407.578383333341</v>
      </c>
      <c r="E23" s="25">
        <f t="shared" si="12"/>
        <v>45427.528383333338</v>
      </c>
      <c r="F23" s="25">
        <f t="shared" si="12"/>
        <v>45447.478383333349</v>
      </c>
      <c r="G23" s="25">
        <f t="shared" si="12"/>
        <v>45467.428383333347</v>
      </c>
      <c r="H23" s="25">
        <f t="shared" si="12"/>
        <v>45487.378383333344</v>
      </c>
      <c r="I23" s="25">
        <f t="shared" si="12"/>
        <v>45507.328383333341</v>
      </c>
    </row>
    <row r="24" spans="2:9">
      <c r="B24" s="29" t="s">
        <v>15</v>
      </c>
      <c r="C24" s="6">
        <f>(C6/$H$34)*$H$52</f>
        <v>7213.1455054210483</v>
      </c>
      <c r="D24" s="6">
        <f t="shared" ref="D24:I24" si="13">(D6/$H$34)*$H$52</f>
        <v>7214.5881345221314</v>
      </c>
      <c r="E24" s="6">
        <f t="shared" si="13"/>
        <v>7216.0307636232174</v>
      </c>
      <c r="F24" s="6">
        <f t="shared" si="13"/>
        <v>7217.4733927243014</v>
      </c>
      <c r="G24" s="6">
        <f t="shared" si="13"/>
        <v>7218.9160218253846</v>
      </c>
      <c r="H24" s="6">
        <f t="shared" si="13"/>
        <v>7220.3586509264687</v>
      </c>
      <c r="I24" s="6">
        <f t="shared" si="13"/>
        <v>7221.8012800275528</v>
      </c>
    </row>
    <row r="25" spans="2:9">
      <c r="B25" s="29" t="s">
        <v>102</v>
      </c>
      <c r="C25" s="6">
        <f>(C6/$H$34)*$H$53</f>
        <v>1442.6291010842099</v>
      </c>
      <c r="D25" s="6">
        <f t="shared" ref="D25:I25" si="14">(D6/$H$34)*$H$53</f>
        <v>1442.9176269044265</v>
      </c>
      <c r="E25" s="6">
        <f t="shared" si="14"/>
        <v>1443.2061527246435</v>
      </c>
      <c r="F25" s="6">
        <f t="shared" si="14"/>
        <v>1443.4946785448603</v>
      </c>
      <c r="G25" s="6">
        <f t="shared" si="14"/>
        <v>1443.7832043650772</v>
      </c>
      <c r="H25" s="6">
        <f t="shared" si="14"/>
        <v>1444.071730185294</v>
      </c>
      <c r="I25" s="6">
        <f t="shared" si="14"/>
        <v>1444.3602560055108</v>
      </c>
    </row>
    <row r="26" spans="2:9">
      <c r="B26" s="29" t="s">
        <v>16</v>
      </c>
      <c r="C26" s="6">
        <f>'Loan Amortization Table'!D14</f>
        <v>11666.666666666668</v>
      </c>
      <c r="D26" s="6">
        <f>'Loan Amortization Table'!D15</f>
        <v>11657.103597784651</v>
      </c>
      <c r="E26" s="6">
        <f>'Loan Amortization Table'!D16</f>
        <v>11647.484744334157</v>
      </c>
      <c r="F26" s="6">
        <f>'Loan Amortization Table'!D17</f>
        <v>11637.809780905201</v>
      </c>
      <c r="G26" s="6">
        <f>'Loan Amortization Table'!D18</f>
        <v>11628.078380189576</v>
      </c>
      <c r="H26" s="6">
        <f>'Loan Amortization Table'!D19</f>
        <v>11618.290212969778</v>
      </c>
      <c r="I26" s="6">
        <f>'Loan Amortization Table'!D20</f>
        <v>11608.444948107863</v>
      </c>
    </row>
    <row r="27" spans="2:9">
      <c r="B27" s="29" t="s">
        <v>54</v>
      </c>
      <c r="C27" s="6">
        <f>$H$55/12</f>
        <v>5000</v>
      </c>
      <c r="D27" s="6">
        <f t="shared" ref="D27:I27" si="15">$H$55/12</f>
        <v>5000</v>
      </c>
      <c r="E27" s="6">
        <f t="shared" si="15"/>
        <v>5000</v>
      </c>
      <c r="F27" s="6">
        <f t="shared" si="15"/>
        <v>5000</v>
      </c>
      <c r="G27" s="6">
        <f t="shared" si="15"/>
        <v>5000</v>
      </c>
      <c r="H27" s="6">
        <f t="shared" si="15"/>
        <v>5000</v>
      </c>
      <c r="I27" s="6">
        <f t="shared" si="15"/>
        <v>5000</v>
      </c>
    </row>
    <row r="28" spans="2:9">
      <c r="B28" s="38" t="s">
        <v>17</v>
      </c>
      <c r="C28" s="39">
        <f>C23-SUM(C24:C27)</f>
        <v>20065.187110161416</v>
      </c>
      <c r="D28" s="39">
        <f t="shared" ref="D28:I28" si="16">D23-SUM(D24:D27)</f>
        <v>20092.969024122132</v>
      </c>
      <c r="E28" s="39">
        <f t="shared" si="16"/>
        <v>20120.806722651319</v>
      </c>
      <c r="F28" s="39">
        <f t="shared" si="16"/>
        <v>20148.700531158986</v>
      </c>
      <c r="G28" s="39">
        <f t="shared" si="16"/>
        <v>20176.650776953309</v>
      </c>
      <c r="H28" s="39">
        <f t="shared" si="16"/>
        <v>20204.657789251803</v>
      </c>
      <c r="I28" s="39">
        <f t="shared" si="16"/>
        <v>20232.721899192416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105147</v>
      </c>
      <c r="D34" s="6">
        <f>Inputs!K42</f>
        <v>105168</v>
      </c>
      <c r="E34" s="6">
        <f>Inputs!L42</f>
        <v>105189</v>
      </c>
      <c r="F34" s="6">
        <f>Inputs!M42</f>
        <v>105210</v>
      </c>
      <c r="G34" s="6">
        <f>Inputs!N42</f>
        <v>105231</v>
      </c>
      <c r="H34" s="6">
        <f>'Profit and Loss Statement'!E6</f>
        <v>1261386</v>
      </c>
    </row>
    <row r="35" spans="2:8">
      <c r="B35" s="31" t="s">
        <v>52</v>
      </c>
      <c r="C35" s="6">
        <f>Inputs!J61</f>
        <v>5257.35</v>
      </c>
      <c r="D35" s="6">
        <f>Inputs!K61</f>
        <v>5258.4</v>
      </c>
      <c r="E35" s="6">
        <f>Inputs!L61</f>
        <v>5259.45</v>
      </c>
      <c r="F35" s="6">
        <f>Inputs!M61</f>
        <v>5260.5</v>
      </c>
      <c r="G35" s="6">
        <f>Inputs!N61</f>
        <v>5261.55</v>
      </c>
      <c r="H35" s="6">
        <f>'Profit and Loss Statement'!E7</f>
        <v>63069.3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99889.65</v>
      </c>
      <c r="D38" s="6">
        <f t="shared" ref="D38:H38" si="19">D34-D35</f>
        <v>99909.6</v>
      </c>
      <c r="E38" s="6">
        <f t="shared" si="19"/>
        <v>99929.55</v>
      </c>
      <c r="F38" s="6">
        <f t="shared" si="19"/>
        <v>99949.5</v>
      </c>
      <c r="G38" s="6">
        <f t="shared" si="19"/>
        <v>99969.45</v>
      </c>
      <c r="H38" s="6">
        <f t="shared" si="19"/>
        <v>1198316.7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32500</v>
      </c>
      <c r="D41" s="6">
        <f t="shared" ref="D41:G41" si="20">$H$41/12</f>
        <v>32500</v>
      </c>
      <c r="E41" s="6">
        <f t="shared" si="20"/>
        <v>32500</v>
      </c>
      <c r="F41" s="6">
        <f t="shared" si="20"/>
        <v>32500</v>
      </c>
      <c r="G41" s="6">
        <f t="shared" si="20"/>
        <v>32500</v>
      </c>
      <c r="H41" s="6">
        <f>'Profit and Loss Statement'!E13</f>
        <v>390000</v>
      </c>
    </row>
    <row r="42" spans="2:8">
      <c r="B42" s="33" t="str">
        <f>B14</f>
        <v>Facility Costs</v>
      </c>
      <c r="C42" s="6">
        <f>$H$42/12</f>
        <v>12500</v>
      </c>
      <c r="D42" s="6">
        <f t="shared" ref="D42:G42" si="21">$H$42/12</f>
        <v>12500</v>
      </c>
      <c r="E42" s="6">
        <f t="shared" si="21"/>
        <v>12500</v>
      </c>
      <c r="F42" s="6">
        <f t="shared" si="21"/>
        <v>12500</v>
      </c>
      <c r="G42" s="6">
        <f t="shared" si="21"/>
        <v>12500</v>
      </c>
      <c r="H42" s="6">
        <f>'Profit and Loss Statement'!E14</f>
        <v>150000</v>
      </c>
    </row>
    <row r="43" spans="2:8">
      <c r="B43" s="33" t="str">
        <f t="shared" ref="B43:B47" si="22">B15</f>
        <v>General and Administrative</v>
      </c>
      <c r="C43" s="6">
        <f>$H$43/12</f>
        <v>1650.3133499999997</v>
      </c>
      <c r="D43" s="6">
        <f t="shared" ref="D43:G43" si="23">$H$43/12</f>
        <v>1650.3133499999997</v>
      </c>
      <c r="E43" s="6">
        <f t="shared" si="23"/>
        <v>1650.3133499999997</v>
      </c>
      <c r="F43" s="6">
        <f t="shared" si="23"/>
        <v>1650.3133499999997</v>
      </c>
      <c r="G43" s="6">
        <f t="shared" si="23"/>
        <v>1650.3133499999997</v>
      </c>
      <c r="H43" s="6">
        <f>'Profit and Loss Statement'!E15</f>
        <v>19803.760199999997</v>
      </c>
    </row>
    <row r="44" spans="2:8">
      <c r="B44" s="33" t="str">
        <f t="shared" si="22"/>
        <v>Equipment Costs</v>
      </c>
      <c r="C44" s="6">
        <f>$H$44/12</f>
        <v>1597.7556000000002</v>
      </c>
      <c r="D44" s="6">
        <f t="shared" ref="D44:G44" si="24">$H$44/12</f>
        <v>1597.7556000000002</v>
      </c>
      <c r="E44" s="6">
        <f t="shared" si="24"/>
        <v>1597.7556000000002</v>
      </c>
      <c r="F44" s="6">
        <f t="shared" si="24"/>
        <v>1597.7556000000002</v>
      </c>
      <c r="G44" s="6">
        <f t="shared" si="24"/>
        <v>1597.7556000000002</v>
      </c>
      <c r="H44" s="6">
        <f>'Profit and Loss Statement'!E16</f>
        <v>19173.067200000001</v>
      </c>
    </row>
    <row r="45" spans="2:8">
      <c r="B45" s="33" t="str">
        <f t="shared" si="22"/>
        <v>Insurance Costs</v>
      </c>
      <c r="C45" s="6">
        <f>$H$45/12</f>
        <v>1950</v>
      </c>
      <c r="D45" s="6">
        <f t="shared" ref="D45:G45" si="25">$H$45/12</f>
        <v>1950</v>
      </c>
      <c r="E45" s="6">
        <f t="shared" si="25"/>
        <v>1950</v>
      </c>
      <c r="F45" s="6">
        <f t="shared" si="25"/>
        <v>1950</v>
      </c>
      <c r="G45" s="6">
        <f t="shared" si="25"/>
        <v>1950</v>
      </c>
      <c r="H45" s="6">
        <f>'Profit and Loss Statement'!E17</f>
        <v>23400</v>
      </c>
    </row>
    <row r="46" spans="2:8">
      <c r="B46" s="33" t="str">
        <f t="shared" si="22"/>
        <v>Marketing</v>
      </c>
      <c r="C46" s="6">
        <f>$H$46/12</f>
        <v>1261.386</v>
      </c>
      <c r="D46" s="6">
        <f t="shared" ref="D46:G46" si="26">$H$46/12</f>
        <v>1261.386</v>
      </c>
      <c r="E46" s="6">
        <f t="shared" si="26"/>
        <v>1261.386</v>
      </c>
      <c r="F46" s="6">
        <f t="shared" si="26"/>
        <v>1261.386</v>
      </c>
      <c r="G46" s="6">
        <f t="shared" si="26"/>
        <v>1261.386</v>
      </c>
      <c r="H46" s="6">
        <f>'Profit and Loss Statement'!E18</f>
        <v>15136.632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2486.25</v>
      </c>
      <c r="D48" s="6">
        <f t="shared" ref="D48:G48" si="28">$H$48/12</f>
        <v>2486.25</v>
      </c>
      <c r="E48" s="6">
        <f t="shared" si="28"/>
        <v>2486.25</v>
      </c>
      <c r="F48" s="6">
        <f t="shared" si="28"/>
        <v>2486.25</v>
      </c>
      <c r="G48" s="6">
        <f t="shared" si="28"/>
        <v>2486.25</v>
      </c>
      <c r="H48" s="6">
        <f>'Profit and Loss Statement'!E20</f>
        <v>29835</v>
      </c>
    </row>
    <row r="49" spans="2:15">
      <c r="B49" s="28" t="s">
        <v>8</v>
      </c>
      <c r="C49" s="6">
        <f>SUM(C41:C48)</f>
        <v>54362.371616666656</v>
      </c>
      <c r="D49" s="6">
        <f t="shared" ref="D49:G49" si="29">SUM(D41:D48)</f>
        <v>54362.371616666656</v>
      </c>
      <c r="E49" s="6">
        <f t="shared" si="29"/>
        <v>54362.371616666656</v>
      </c>
      <c r="F49" s="6">
        <f t="shared" si="29"/>
        <v>54362.371616666656</v>
      </c>
      <c r="G49" s="6">
        <f t="shared" si="29"/>
        <v>54362.371616666656</v>
      </c>
      <c r="H49" s="6">
        <f>'Profit and Loss Statement'!E21</f>
        <v>652348.45940000005</v>
      </c>
    </row>
    <row r="50" spans="2:15">
      <c r="B50" s="30"/>
    </row>
    <row r="51" spans="2:15">
      <c r="B51" s="24" t="s">
        <v>47</v>
      </c>
      <c r="C51" s="25">
        <f>C38-C49</f>
        <v>45527.278383333338</v>
      </c>
      <c r="D51" s="25">
        <f t="shared" ref="D51:H51" si="30">D38-D49</f>
        <v>45547.228383333349</v>
      </c>
      <c r="E51" s="25">
        <f t="shared" si="30"/>
        <v>45567.178383333347</v>
      </c>
      <c r="F51" s="25">
        <f t="shared" si="30"/>
        <v>45587.128383333344</v>
      </c>
      <c r="G51" s="25">
        <f t="shared" si="30"/>
        <v>45607.078383333341</v>
      </c>
      <c r="H51" s="25">
        <f t="shared" si="30"/>
        <v>545968.2405999999</v>
      </c>
    </row>
    <row r="52" spans="2:15">
      <c r="B52" s="29" t="s">
        <v>15</v>
      </c>
      <c r="C52" s="6">
        <f>(C34/$H$34)*$H$52</f>
        <v>7223.2439091286378</v>
      </c>
      <c r="D52" s="6">
        <f t="shared" ref="D52:G52" si="31">(D34/$H$34)*$H$52</f>
        <v>7224.6865382297219</v>
      </c>
      <c r="E52" s="6">
        <f t="shared" si="31"/>
        <v>7226.129167330806</v>
      </c>
      <c r="F52" s="6">
        <f t="shared" si="31"/>
        <v>7227.5717964318901</v>
      </c>
      <c r="G52" s="6">
        <f t="shared" si="31"/>
        <v>7229.0144255329742</v>
      </c>
      <c r="H52" s="6">
        <f>'Profit and Loss Statement'!E24</f>
        <v>86652.959585724137</v>
      </c>
    </row>
    <row r="53" spans="2:15">
      <c r="B53" s="29" t="s">
        <v>102</v>
      </c>
      <c r="C53" s="6">
        <f>(C34/$H$34)*$H$53</f>
        <v>1444.6487818257278</v>
      </c>
      <c r="D53" s="6">
        <f t="shared" ref="D53:G53" si="32">(D34/$H$34)*$H$53</f>
        <v>1444.9373076459447</v>
      </c>
      <c r="E53" s="6">
        <f t="shared" si="32"/>
        <v>1445.2258334661615</v>
      </c>
      <c r="F53" s="6">
        <f t="shared" si="32"/>
        <v>1445.5143592863783</v>
      </c>
      <c r="G53" s="6">
        <f t="shared" si="32"/>
        <v>1445.8028851065949</v>
      </c>
      <c r="H53" s="6">
        <f>'Profit and Loss Statement'!E25</f>
        <v>17330.591917144829</v>
      </c>
    </row>
    <row r="54" spans="2:15">
      <c r="B54" s="29" t="s">
        <v>16</v>
      </c>
      <c r="C54" s="6">
        <f>'Loan Amortization Table'!D21</f>
        <v>11598.542252534255</v>
      </c>
      <c r="D54" s="6">
        <f>'Loan Amortization Table'!D22</f>
        <v>11588.581791236466</v>
      </c>
      <c r="E54" s="6">
        <f>'Loan Amortization Table'!D23</f>
        <v>11578.563227247774</v>
      </c>
      <c r="F54" s="6">
        <f>'Loan Amortization Table'!D24</f>
        <v>11568.486221635816</v>
      </c>
      <c r="G54" s="6">
        <f>'Loan Amortization Table'!D25</f>
        <v>11558.350433491119</v>
      </c>
      <c r="H54" s="6">
        <f>'Profit and Loss Statement'!E26</f>
        <v>139356.40225710333</v>
      </c>
    </row>
    <row r="55" spans="2:15">
      <c r="B55" s="29" t="s">
        <v>54</v>
      </c>
      <c r="C55" s="6">
        <f>$H$55/12</f>
        <v>5000</v>
      </c>
      <c r="D55" s="6">
        <f t="shared" ref="D55:G55" si="33">$H$55/12</f>
        <v>5000</v>
      </c>
      <c r="E55" s="6">
        <f t="shared" si="33"/>
        <v>5000</v>
      </c>
      <c r="F55" s="6">
        <f t="shared" si="33"/>
        <v>5000</v>
      </c>
      <c r="G55" s="6">
        <f t="shared" si="33"/>
        <v>5000</v>
      </c>
      <c r="H55" s="6">
        <f>'Profit and Loss Statement'!E27</f>
        <v>60000</v>
      </c>
    </row>
    <row r="56" spans="2:15">
      <c r="B56" s="38" t="s">
        <v>17</v>
      </c>
      <c r="C56" s="39">
        <f>C51-SUM(C52:C55)</f>
        <v>20260.843439844717</v>
      </c>
      <c r="D56" s="39">
        <f t="shared" ref="D56:G56" si="34">D51-SUM(D52:D55)</f>
        <v>20289.022746221217</v>
      </c>
      <c r="E56" s="39">
        <f t="shared" si="34"/>
        <v>20317.260155288604</v>
      </c>
      <c r="F56" s="39">
        <f t="shared" si="34"/>
        <v>20345.556005979259</v>
      </c>
      <c r="G56" s="39">
        <f t="shared" si="34"/>
        <v>20373.910639202652</v>
      </c>
      <c r="H56" s="39">
        <f>'Profit and Loss Statement'!E28</f>
        <v>242628.28684002761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2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346881.15</v>
      </c>
      <c r="D62" s="6">
        <f t="shared" ref="D62:F62" si="38">$G$62*M62</f>
        <v>346881.15</v>
      </c>
      <c r="E62" s="6">
        <f t="shared" si="38"/>
        <v>346881.15</v>
      </c>
      <c r="F62" s="6">
        <f t="shared" si="38"/>
        <v>346881.15</v>
      </c>
      <c r="G62" s="6">
        <f>'Profit and Loss Statement'!F6</f>
        <v>1387524.6</v>
      </c>
      <c r="K62" s="4" t="s">
        <v>114</v>
      </c>
      <c r="L62" s="109">
        <v>0.25</v>
      </c>
      <c r="M62" s="109">
        <v>0.25</v>
      </c>
      <c r="N62" s="109">
        <v>0.25</v>
      </c>
      <c r="O62" s="109">
        <v>0.25</v>
      </c>
    </row>
    <row r="63" spans="2:15">
      <c r="B63" s="31" t="s">
        <v>52</v>
      </c>
      <c r="C63" s="6">
        <f>$G$63*L62</f>
        <v>17344.057500000003</v>
      </c>
      <c r="D63" s="6">
        <f t="shared" ref="D63:F63" si="39">$G$63*M62</f>
        <v>17344.057500000003</v>
      </c>
      <c r="E63" s="6">
        <f t="shared" si="39"/>
        <v>17344.057500000003</v>
      </c>
      <c r="F63" s="6">
        <f t="shared" si="39"/>
        <v>17344.057500000003</v>
      </c>
      <c r="G63" s="6">
        <f>'Profit and Loss Statement'!F7</f>
        <v>69376.23000000001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329537.09250000003</v>
      </c>
      <c r="D66" s="6">
        <f t="shared" ref="D66:G66" si="43">D62-D63</f>
        <v>329537.09250000003</v>
      </c>
      <c r="E66" s="6">
        <f t="shared" si="43"/>
        <v>329537.09250000003</v>
      </c>
      <c r="F66" s="6">
        <f t="shared" si="43"/>
        <v>329537.09250000003</v>
      </c>
      <c r="G66" s="6">
        <f t="shared" si="43"/>
        <v>1318148.3700000001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100425</v>
      </c>
      <c r="D69" s="6">
        <f t="shared" ref="D69:F69" si="44">$G$69/4</f>
        <v>100425</v>
      </c>
      <c r="E69" s="6">
        <f t="shared" si="44"/>
        <v>100425</v>
      </c>
      <c r="F69" s="6">
        <f t="shared" si="44"/>
        <v>100425</v>
      </c>
      <c r="G69" s="6">
        <f>'Profit and Loss Statement'!F13</f>
        <v>401700</v>
      </c>
    </row>
    <row r="70" spans="2:7">
      <c r="B70" s="33" t="str">
        <f>B42</f>
        <v>Facility Costs</v>
      </c>
      <c r="C70" s="6">
        <f>$G$70/4</f>
        <v>38625</v>
      </c>
      <c r="D70" s="6">
        <f t="shared" ref="D70:F70" si="45">$G$70/4</f>
        <v>38625</v>
      </c>
      <c r="E70" s="6">
        <f t="shared" si="45"/>
        <v>38625</v>
      </c>
      <c r="F70" s="6">
        <f t="shared" si="45"/>
        <v>38625</v>
      </c>
      <c r="G70" s="6">
        <f>'Profit and Loss Statement'!F14</f>
        <v>154500</v>
      </c>
    </row>
    <row r="71" spans="2:7">
      <c r="B71" s="33" t="str">
        <f t="shared" ref="B71:B75" si="46">B43</f>
        <v>General and Administrative</v>
      </c>
      <c r="C71" s="6">
        <f>$G$71/4</f>
        <v>5446.0340550000001</v>
      </c>
      <c r="D71" s="6">
        <f t="shared" ref="D71:F71" si="47">$G$71/4</f>
        <v>5446.0340550000001</v>
      </c>
      <c r="E71" s="6">
        <f t="shared" si="47"/>
        <v>5446.0340550000001</v>
      </c>
      <c r="F71" s="6">
        <f t="shared" si="47"/>
        <v>5446.0340550000001</v>
      </c>
      <c r="G71" s="6">
        <f>'Profit and Loss Statement'!F15</f>
        <v>21784.13622</v>
      </c>
    </row>
    <row r="72" spans="2:7">
      <c r="B72" s="33" t="str">
        <f t="shared" si="46"/>
        <v>Equipment Costs</v>
      </c>
      <c r="C72" s="6">
        <f>$G$72/4</f>
        <v>5272.5934800000005</v>
      </c>
      <c r="D72" s="6">
        <f t="shared" ref="D72:F72" si="48">$G$72/4</f>
        <v>5272.5934800000005</v>
      </c>
      <c r="E72" s="6">
        <f t="shared" si="48"/>
        <v>5272.5934800000005</v>
      </c>
      <c r="F72" s="6">
        <f t="shared" si="48"/>
        <v>5272.5934800000005</v>
      </c>
      <c r="G72" s="6">
        <f>'Profit and Loss Statement'!F16</f>
        <v>21090.373920000002</v>
      </c>
    </row>
    <row r="73" spans="2:7">
      <c r="B73" s="33" t="str">
        <f t="shared" si="46"/>
        <v>Insurance Costs</v>
      </c>
      <c r="C73" s="6">
        <f>$G$73/4</f>
        <v>6025.5</v>
      </c>
      <c r="D73" s="6">
        <f t="shared" ref="D73:F73" si="49">$G$73/4</f>
        <v>6025.5</v>
      </c>
      <c r="E73" s="6">
        <f t="shared" si="49"/>
        <v>6025.5</v>
      </c>
      <c r="F73" s="6">
        <f t="shared" si="49"/>
        <v>6025.5</v>
      </c>
      <c r="G73" s="6">
        <f>'Profit and Loss Statement'!F17</f>
        <v>24102</v>
      </c>
    </row>
    <row r="74" spans="2:7">
      <c r="B74" s="33" t="str">
        <f t="shared" si="46"/>
        <v>Marketing</v>
      </c>
      <c r="C74" s="6">
        <f>$G$74/4</f>
        <v>4162.5738000000001</v>
      </c>
      <c r="D74" s="6">
        <f t="shared" ref="D74:F74" si="50">$G$74/4</f>
        <v>4162.5738000000001</v>
      </c>
      <c r="E74" s="6">
        <f t="shared" si="50"/>
        <v>4162.5738000000001</v>
      </c>
      <c r="F74" s="6">
        <f t="shared" si="50"/>
        <v>4162.5738000000001</v>
      </c>
      <c r="G74" s="6">
        <f>'Profit and Loss Statement'!F18</f>
        <v>16650.2952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7682.5124999999998</v>
      </c>
      <c r="D76" s="6">
        <f t="shared" ref="D76:F76" si="52">$G$76/4</f>
        <v>7682.5124999999998</v>
      </c>
      <c r="E76" s="6">
        <f t="shared" si="52"/>
        <v>7682.5124999999998</v>
      </c>
      <c r="F76" s="6">
        <f t="shared" si="52"/>
        <v>7682.5124999999998</v>
      </c>
      <c r="G76" s="6">
        <f>'Profit and Loss Statement'!F20</f>
        <v>30730.05</v>
      </c>
    </row>
    <row r="77" spans="2:7">
      <c r="B77" s="28" t="s">
        <v>8</v>
      </c>
      <c r="C77" s="6">
        <f>SUM(C69:C76)</f>
        <v>169326.71383500003</v>
      </c>
      <c r="D77" s="6">
        <f t="shared" ref="D77:F77" si="53">SUM(D69:D76)</f>
        <v>169326.71383500003</v>
      </c>
      <c r="E77" s="6">
        <f t="shared" si="53"/>
        <v>169326.71383500003</v>
      </c>
      <c r="F77" s="6">
        <f t="shared" si="53"/>
        <v>169326.71383500003</v>
      </c>
      <c r="G77" s="6">
        <f>SUM(G69:G76)</f>
        <v>677306.85534000013</v>
      </c>
    </row>
    <row r="78" spans="2:7">
      <c r="B78" s="30"/>
    </row>
    <row r="79" spans="2:7">
      <c r="B79" s="24" t="s">
        <v>47</v>
      </c>
      <c r="C79" s="25">
        <f>C66-C77</f>
        <v>160210.378665</v>
      </c>
      <c r="D79" s="25">
        <f t="shared" ref="D79:F79" si="54">D66-D77</f>
        <v>160210.378665</v>
      </c>
      <c r="E79" s="25">
        <f t="shared" si="54"/>
        <v>160210.378665</v>
      </c>
      <c r="F79" s="25">
        <f t="shared" si="54"/>
        <v>160210.378665</v>
      </c>
      <c r="G79" s="25">
        <f t="shared" ref="G79" si="55">G66-G77</f>
        <v>640841.51465999999</v>
      </c>
    </row>
    <row r="80" spans="2:7">
      <c r="B80" s="29" t="s">
        <v>15</v>
      </c>
      <c r="C80" s="6">
        <f>$G$80*L62</f>
        <v>27684.61074354891</v>
      </c>
      <c r="D80" s="6">
        <f t="shared" ref="D80:F80" si="56">$G$80*M62</f>
        <v>27684.61074354891</v>
      </c>
      <c r="E80" s="6">
        <f t="shared" si="56"/>
        <v>27684.61074354891</v>
      </c>
      <c r="F80" s="6">
        <f t="shared" si="56"/>
        <v>27684.61074354891</v>
      </c>
      <c r="G80" s="6">
        <f>'Profit and Loss Statement'!F24</f>
        <v>110738.44297419564</v>
      </c>
    </row>
    <row r="81" spans="2:15">
      <c r="B81" s="29" t="s">
        <v>102</v>
      </c>
      <c r="C81" s="6">
        <f>$G$81*L62</f>
        <v>5536.922148709782</v>
      </c>
      <c r="D81" s="6">
        <f t="shared" ref="D81:F81" si="57">$G$81*M62</f>
        <v>5536.922148709782</v>
      </c>
      <c r="E81" s="6">
        <f t="shared" si="57"/>
        <v>5536.922148709782</v>
      </c>
      <c r="F81" s="6">
        <f t="shared" si="57"/>
        <v>5536.922148709782</v>
      </c>
      <c r="G81" s="6">
        <f>'Profit and Loss Statement'!F25</f>
        <v>22147.688594839128</v>
      </c>
    </row>
    <row r="82" spans="2:15">
      <c r="B82" s="29" t="s">
        <v>16</v>
      </c>
      <c r="C82" s="6">
        <f>SUM('Loan Amortization Table'!D26:D28)</f>
        <v>34613.643590793108</v>
      </c>
      <c r="D82" s="6">
        <f>SUM('Loan Amortization Table'!D29:D31)</f>
        <v>34520.272179107524</v>
      </c>
      <c r="E82" s="6">
        <f>SUM('Loan Amortization Table'!D32:D34)</f>
        <v>34425.257217518709</v>
      </c>
      <c r="F82" s="6">
        <f>SUM('Loan Amortization Table'!D35:D37)</f>
        <v>34328.56977579806</v>
      </c>
      <c r="G82" s="6">
        <f>'Profit and Loss Statement'!F26</f>
        <v>137887.74276321739</v>
      </c>
    </row>
    <row r="83" spans="2:15">
      <c r="B83" s="29" t="s">
        <v>54</v>
      </c>
      <c r="C83" s="6">
        <f>$G$83/4</f>
        <v>15000</v>
      </c>
      <c r="D83" s="6">
        <f t="shared" ref="D83:F83" si="58">$G$83/4</f>
        <v>15000</v>
      </c>
      <c r="E83" s="6">
        <f t="shared" si="58"/>
        <v>15000</v>
      </c>
      <c r="F83" s="6">
        <f t="shared" si="58"/>
        <v>15000</v>
      </c>
      <c r="G83" s="6">
        <f>'Profit and Loss Statement'!F27</f>
        <v>60000</v>
      </c>
    </row>
    <row r="84" spans="2:15">
      <c r="B84" s="38" t="s">
        <v>17</v>
      </c>
      <c r="C84" s="39">
        <f>C79-SUM(C80:C83)</f>
        <v>77375.202181948203</v>
      </c>
      <c r="D84" s="39">
        <f t="shared" ref="D84:F84" si="59">D79-SUM(D80:D83)</f>
        <v>77468.573593633773</v>
      </c>
      <c r="E84" s="39">
        <f t="shared" si="59"/>
        <v>77563.588555222595</v>
      </c>
      <c r="F84" s="39">
        <f t="shared" si="59"/>
        <v>77660.275996943237</v>
      </c>
      <c r="G84" s="39">
        <f>'Profit and Loss Statement'!F28</f>
        <v>310067.64032774779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2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381569.26500000007</v>
      </c>
      <c r="D92" s="6">
        <f t="shared" ref="D92:F92" si="64">$G$92*M92</f>
        <v>381569.26500000007</v>
      </c>
      <c r="E92" s="6">
        <f t="shared" si="64"/>
        <v>381569.26500000007</v>
      </c>
      <c r="F92" s="6">
        <f t="shared" si="64"/>
        <v>381569.26500000007</v>
      </c>
      <c r="G92" s="6">
        <f>'Profit and Loss Statement'!G6</f>
        <v>1526277.0600000003</v>
      </c>
      <c r="K92" s="4" t="s">
        <v>114</v>
      </c>
      <c r="L92" s="109">
        <v>0.25</v>
      </c>
      <c r="M92" s="109">
        <v>0.25</v>
      </c>
      <c r="N92" s="109">
        <v>0.25</v>
      </c>
      <c r="O92" s="109">
        <v>0.25</v>
      </c>
    </row>
    <row r="93" spans="2:15">
      <c r="B93" s="31" t="s">
        <v>52</v>
      </c>
      <c r="C93" s="6">
        <f>$G$93*L92</f>
        <v>19078.463250000004</v>
      </c>
      <c r="D93" s="6">
        <f t="shared" ref="D93:F93" si="65">$G$93*M92</f>
        <v>19078.463250000004</v>
      </c>
      <c r="E93" s="6">
        <f t="shared" si="65"/>
        <v>19078.463250000004</v>
      </c>
      <c r="F93" s="6">
        <f t="shared" si="65"/>
        <v>19078.463250000004</v>
      </c>
      <c r="G93" s="6">
        <f>'Profit and Loss Statement'!G7</f>
        <v>76313.853000000017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362490.80175000004</v>
      </c>
      <c r="D96" s="6">
        <f t="shared" ref="D96:G96" si="67">D92-D93</f>
        <v>362490.80175000004</v>
      </c>
      <c r="E96" s="6">
        <f t="shared" si="67"/>
        <v>362490.80175000004</v>
      </c>
      <c r="F96" s="6">
        <f t="shared" si="67"/>
        <v>362490.80175000004</v>
      </c>
      <c r="G96" s="6">
        <f t="shared" si="67"/>
        <v>1449963.2070000002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103437.75</v>
      </c>
      <c r="D99" s="6">
        <f>$G$99/4</f>
        <v>103437.75</v>
      </c>
      <c r="E99" s="6">
        <f>$G$99/4</f>
        <v>103437.75</v>
      </c>
      <c r="F99" s="6">
        <f>$G$99/4</f>
        <v>103437.75</v>
      </c>
      <c r="G99" s="6">
        <f>'Profit and Loss Statement'!G13</f>
        <v>413751</v>
      </c>
    </row>
    <row r="100" spans="2:7">
      <c r="B100" s="33" t="str">
        <f>B70</f>
        <v>Facility Costs</v>
      </c>
      <c r="C100" s="6">
        <f>$G$100/4</f>
        <v>39783.75</v>
      </c>
      <c r="D100" s="6">
        <f t="shared" ref="D100:F100" si="68">$G$100/4</f>
        <v>39783.75</v>
      </c>
      <c r="E100" s="6">
        <f t="shared" si="68"/>
        <v>39783.75</v>
      </c>
      <c r="F100" s="6">
        <f t="shared" si="68"/>
        <v>39783.75</v>
      </c>
      <c r="G100" s="6">
        <f>'Profit and Loss Statement'!G14</f>
        <v>159135</v>
      </c>
    </row>
    <row r="101" spans="2:7">
      <c r="B101" s="33" t="str">
        <f t="shared" ref="B101:B105" si="69">B71</f>
        <v>General and Administrative</v>
      </c>
      <c r="C101" s="6">
        <f>$G101/4</f>
        <v>5990.637460500001</v>
      </c>
      <c r="D101" s="6">
        <f t="shared" ref="D101:F101" si="70">$G101/4</f>
        <v>5990.637460500001</v>
      </c>
      <c r="E101" s="6">
        <f t="shared" si="70"/>
        <v>5990.637460500001</v>
      </c>
      <c r="F101" s="6">
        <f t="shared" si="70"/>
        <v>5990.637460500001</v>
      </c>
      <c r="G101" s="6">
        <f>'Profit and Loss Statement'!G15</f>
        <v>23962.549842000004</v>
      </c>
    </row>
    <row r="102" spans="2:7">
      <c r="B102" s="33" t="str">
        <f t="shared" si="69"/>
        <v>Equipment Costs</v>
      </c>
      <c r="C102" s="6">
        <f>$G$102/4</f>
        <v>5799.852828000001</v>
      </c>
      <c r="D102" s="6">
        <f t="shared" ref="D102:F102" si="71">$G$102/4</f>
        <v>5799.852828000001</v>
      </c>
      <c r="E102" s="6">
        <f t="shared" si="71"/>
        <v>5799.852828000001</v>
      </c>
      <c r="F102" s="6">
        <f t="shared" si="71"/>
        <v>5799.852828000001</v>
      </c>
      <c r="G102" s="6">
        <f>'Profit and Loss Statement'!G16</f>
        <v>23199.411312000004</v>
      </c>
    </row>
    <row r="103" spans="2:7">
      <c r="B103" s="33" t="str">
        <f t="shared" si="69"/>
        <v>Insurance Costs</v>
      </c>
      <c r="C103" s="6">
        <f>$G$103/4</f>
        <v>6206.2649999999994</v>
      </c>
      <c r="D103" s="6">
        <f t="shared" ref="D103:F103" si="72">$G$103/4</f>
        <v>6206.2649999999994</v>
      </c>
      <c r="E103" s="6">
        <f t="shared" si="72"/>
        <v>6206.2649999999994</v>
      </c>
      <c r="F103" s="6">
        <f t="shared" si="72"/>
        <v>6206.2649999999994</v>
      </c>
      <c r="G103" s="6">
        <f>'Profit and Loss Statement'!G17</f>
        <v>24825.059999999998</v>
      </c>
    </row>
    <row r="104" spans="2:7">
      <c r="B104" s="33" t="str">
        <f t="shared" si="69"/>
        <v>Marketing</v>
      </c>
      <c r="C104" s="6">
        <f>$G$104/4</f>
        <v>4578.831180000001</v>
      </c>
      <c r="D104" s="6">
        <f t="shared" ref="D104:F104" si="73">$G$104/4</f>
        <v>4578.831180000001</v>
      </c>
      <c r="E104" s="6">
        <f t="shared" si="73"/>
        <v>4578.831180000001</v>
      </c>
      <c r="F104" s="6">
        <f t="shared" si="73"/>
        <v>4578.831180000001</v>
      </c>
      <c r="G104" s="6">
        <f>'Profit and Loss Statement'!G18</f>
        <v>18315.324720000004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7912.9878749999998</v>
      </c>
      <c r="D106" s="6">
        <f t="shared" ref="D106:F106" si="75">$G$106/4</f>
        <v>7912.9878749999998</v>
      </c>
      <c r="E106" s="6">
        <f t="shared" si="75"/>
        <v>7912.9878749999998</v>
      </c>
      <c r="F106" s="6">
        <f t="shared" si="75"/>
        <v>7912.9878749999998</v>
      </c>
      <c r="G106" s="6">
        <f>'Profit and Loss Statement'!G20</f>
        <v>31651.951499999999</v>
      </c>
    </row>
    <row r="107" spans="2:7">
      <c r="B107" s="28" t="s">
        <v>8</v>
      </c>
      <c r="C107" s="6">
        <f>SUM(C99:C106)</f>
        <v>175988.19934349999</v>
      </c>
      <c r="D107" s="6">
        <f t="shared" ref="D107:F107" si="76">SUM(D99:D106)</f>
        <v>175988.19934349999</v>
      </c>
      <c r="E107" s="6">
        <f t="shared" si="76"/>
        <v>175988.19934349999</v>
      </c>
      <c r="F107" s="6">
        <f t="shared" si="76"/>
        <v>175988.19934349999</v>
      </c>
      <c r="G107" s="6">
        <f>SUM(G99:G106)</f>
        <v>703952.79737399996</v>
      </c>
    </row>
    <row r="108" spans="2:7">
      <c r="B108" s="30"/>
    </row>
    <row r="109" spans="2:7">
      <c r="B109" s="24" t="s">
        <v>47</v>
      </c>
      <c r="C109" s="25">
        <f>C96-C107</f>
        <v>186502.60240650005</v>
      </c>
      <c r="D109" s="25">
        <f t="shared" ref="D109:G109" si="77">D96-D107</f>
        <v>186502.60240650005</v>
      </c>
      <c r="E109" s="25">
        <f t="shared" si="77"/>
        <v>186502.60240650005</v>
      </c>
      <c r="F109" s="25">
        <f t="shared" si="77"/>
        <v>186502.60240650005</v>
      </c>
      <c r="G109" s="25">
        <f t="shared" si="77"/>
        <v>746010.40962600021</v>
      </c>
    </row>
    <row r="110" spans="2:7">
      <c r="B110" s="29" t="s">
        <v>15</v>
      </c>
      <c r="C110" s="6">
        <f>$G$110*L92</f>
        <v>34356.093491889507</v>
      </c>
      <c r="D110" s="6">
        <f t="shared" ref="D110:F110" si="78">$G$110*M92</f>
        <v>34356.093491889507</v>
      </c>
      <c r="E110" s="6">
        <f t="shared" si="78"/>
        <v>34356.093491889507</v>
      </c>
      <c r="F110" s="6">
        <f t="shared" si="78"/>
        <v>34356.093491889507</v>
      </c>
      <c r="G110" s="6">
        <f>'Profit and Loss Statement'!G24</f>
        <v>137424.37396755803</v>
      </c>
    </row>
    <row r="111" spans="2:7">
      <c r="B111" s="29" t="s">
        <v>102</v>
      </c>
      <c r="C111" s="6">
        <f>$G$111*L92</f>
        <v>6871.218698377902</v>
      </c>
      <c r="D111" s="6">
        <f t="shared" ref="D111:F111" si="79">$G$111*M92</f>
        <v>6871.218698377902</v>
      </c>
      <c r="E111" s="6">
        <f t="shared" si="79"/>
        <v>6871.218698377902</v>
      </c>
      <c r="F111" s="6">
        <f t="shared" si="79"/>
        <v>6871.218698377902</v>
      </c>
      <c r="G111" s="6">
        <f>'Profit and Loss Statement'!G25</f>
        <v>27484.874793511608</v>
      </c>
    </row>
    <row r="112" spans="2:7">
      <c r="B112" s="29" t="s">
        <v>16</v>
      </c>
      <c r="C112" s="6">
        <f>SUM('Loan Amortization Table'!D38:D40)</f>
        <v>34230.180414478949</v>
      </c>
      <c r="D112" s="6">
        <f>SUM('Loan Amortization Table'!D41:D43)</f>
        <v>34130.059175892959</v>
      </c>
      <c r="E112" s="6">
        <f>SUM('Loan Amortization Table'!D44:D46)</f>
        <v>34028.175575048328</v>
      </c>
      <c r="F112" s="6">
        <f>SUM('Loan Amortization Table'!D47:D49)</f>
        <v>33924.498590347917</v>
      </c>
      <c r="G112" s="6">
        <f>'Profit and Loss Statement'!G26</f>
        <v>136312.91375576815</v>
      </c>
    </row>
    <row r="113" spans="2:15">
      <c r="B113" s="29" t="s">
        <v>54</v>
      </c>
      <c r="C113" s="6">
        <f>$G$113/4</f>
        <v>15000</v>
      </c>
      <c r="D113" s="6">
        <f>$G$113/4</f>
        <v>15000</v>
      </c>
      <c r="E113" s="6">
        <f>$G$113/4</f>
        <v>15000</v>
      </c>
      <c r="F113" s="6">
        <f>$G$113/4</f>
        <v>15000</v>
      </c>
      <c r="G113" s="6">
        <f>'Profit and Loss Statement'!G27</f>
        <v>60000</v>
      </c>
    </row>
    <row r="114" spans="2:15">
      <c r="B114" s="38" t="s">
        <v>17</v>
      </c>
      <c r="C114" s="39">
        <f>C109-SUM(C110:C113)</f>
        <v>96045.109801753686</v>
      </c>
      <c r="D114" s="39">
        <f t="shared" ref="D114:F114" si="80">D109-SUM(D110:D113)</f>
        <v>96145.231040339684</v>
      </c>
      <c r="E114" s="39">
        <f t="shared" si="80"/>
        <v>96247.114641184307</v>
      </c>
      <c r="F114" s="39">
        <f t="shared" si="80"/>
        <v>96350.791625884725</v>
      </c>
      <c r="G114" s="39">
        <f>'Profit and Loss Statement'!G28</f>
        <v>384788.24710916239</v>
      </c>
    </row>
    <row r="117" spans="2:15">
      <c r="B117" s="114"/>
      <c r="K117" s="114"/>
    </row>
    <row r="118" spans="2:15">
      <c r="C118" s="122"/>
      <c r="D118" s="122"/>
      <c r="E118" s="122"/>
      <c r="F118" s="122"/>
      <c r="G118" s="122"/>
      <c r="L118" s="122"/>
      <c r="M118" s="122"/>
      <c r="N118" s="122"/>
      <c r="O118" s="122"/>
    </row>
    <row r="119" spans="2:15">
      <c r="B119" s="126"/>
      <c r="C119" s="1"/>
      <c r="D119" s="1"/>
      <c r="E119" s="1"/>
      <c r="F119" s="1"/>
      <c r="G119" s="1"/>
      <c r="L119" s="128"/>
      <c r="M119" s="128"/>
      <c r="N119" s="128"/>
      <c r="O119" s="128"/>
    </row>
    <row r="120" spans="2:15">
      <c r="C120" s="1"/>
      <c r="D120" s="1"/>
      <c r="E120" s="1"/>
      <c r="F120" s="1"/>
      <c r="G120" s="1"/>
    </row>
    <row r="121" spans="2:15">
      <c r="C121" s="127"/>
      <c r="D121" s="127"/>
      <c r="E121" s="127"/>
      <c r="F121" s="127"/>
      <c r="G121" s="127"/>
    </row>
    <row r="123" spans="2:15">
      <c r="B123" s="126"/>
      <c r="C123" s="1"/>
      <c r="D123" s="1"/>
      <c r="E123" s="1"/>
      <c r="F123" s="1"/>
      <c r="G123" s="1"/>
    </row>
    <row r="125" spans="2:15">
      <c r="I125" s="114"/>
      <c r="J125" s="114"/>
      <c r="K125" s="114"/>
    </row>
    <row r="126" spans="2:15">
      <c r="C126" s="1"/>
      <c r="D126" s="1"/>
      <c r="E126" s="1"/>
      <c r="F126" s="1"/>
      <c r="G126" s="1"/>
      <c r="I126" s="116">
        <f>SUM(C126:F126)</f>
        <v>0</v>
      </c>
      <c r="J126" s="116">
        <f>G126-I126</f>
        <v>0</v>
      </c>
      <c r="K126" s="114"/>
    </row>
    <row r="127" spans="2:15">
      <c r="C127" s="1"/>
      <c r="D127" s="1"/>
      <c r="E127" s="1"/>
      <c r="F127" s="1"/>
      <c r="G127" s="1"/>
      <c r="I127" s="116">
        <f t="shared" ref="I127:I133" si="81">SUM(C127:F127)</f>
        <v>0</v>
      </c>
      <c r="J127" s="116">
        <f t="shared" ref="J127:J133" si="82">G127-I127</f>
        <v>0</v>
      </c>
      <c r="K127" s="114"/>
    </row>
    <row r="128" spans="2:15">
      <c r="C128" s="1"/>
      <c r="D128" s="1"/>
      <c r="E128" s="1"/>
      <c r="F128" s="1"/>
      <c r="G128" s="1"/>
      <c r="I128" s="116">
        <f t="shared" si="81"/>
        <v>0</v>
      </c>
      <c r="J128" s="116">
        <f t="shared" si="82"/>
        <v>0</v>
      </c>
      <c r="K128" s="114"/>
    </row>
    <row r="129" spans="2:11">
      <c r="C129" s="1"/>
      <c r="D129" s="1"/>
      <c r="E129" s="1"/>
      <c r="F129" s="1"/>
      <c r="G129" s="1"/>
      <c r="I129" s="116">
        <f t="shared" si="81"/>
        <v>0</v>
      </c>
      <c r="J129" s="116">
        <f t="shared" si="82"/>
        <v>0</v>
      </c>
      <c r="K129" s="114"/>
    </row>
    <row r="130" spans="2:11">
      <c r="C130" s="1"/>
      <c r="D130" s="1"/>
      <c r="E130" s="1"/>
      <c r="F130" s="1"/>
      <c r="G130" s="1"/>
      <c r="I130" s="116">
        <f t="shared" si="81"/>
        <v>0</v>
      </c>
      <c r="J130" s="116">
        <f t="shared" si="82"/>
        <v>0</v>
      </c>
      <c r="K130" s="114"/>
    </row>
    <row r="131" spans="2:11">
      <c r="C131" s="1"/>
      <c r="D131" s="1"/>
      <c r="E131" s="1"/>
      <c r="F131" s="1"/>
      <c r="G131" s="1"/>
      <c r="I131" s="116">
        <f t="shared" si="81"/>
        <v>0</v>
      </c>
      <c r="J131" s="116">
        <f t="shared" si="82"/>
        <v>0</v>
      </c>
      <c r="K131" s="114"/>
    </row>
    <row r="132" spans="2:11">
      <c r="C132" s="1"/>
      <c r="D132" s="1"/>
      <c r="E132" s="1"/>
      <c r="F132" s="1"/>
      <c r="G132" s="1"/>
      <c r="I132" s="116">
        <f t="shared" si="81"/>
        <v>0</v>
      </c>
      <c r="J132" s="116">
        <f t="shared" si="82"/>
        <v>0</v>
      </c>
      <c r="K132" s="114"/>
    </row>
    <row r="133" spans="2:11">
      <c r="C133" s="1"/>
      <c r="D133" s="1"/>
      <c r="E133" s="1"/>
      <c r="F133" s="1"/>
      <c r="G133" s="1"/>
      <c r="I133" s="116">
        <f t="shared" si="81"/>
        <v>0</v>
      </c>
      <c r="J133" s="116">
        <f t="shared" si="82"/>
        <v>0</v>
      </c>
      <c r="K133" s="114"/>
    </row>
    <row r="134" spans="2:11">
      <c r="B134" s="126"/>
      <c r="C134" s="1"/>
      <c r="D134" s="1"/>
      <c r="E134" s="1"/>
      <c r="F134" s="1"/>
      <c r="G134" s="1"/>
      <c r="I134" s="116"/>
      <c r="J134" s="114"/>
      <c r="K134" s="114"/>
    </row>
    <row r="136" spans="2:11">
      <c r="B136" s="126"/>
      <c r="C136" s="125"/>
      <c r="D136" s="125"/>
      <c r="E136" s="125"/>
      <c r="F136" s="125"/>
      <c r="G136" s="125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6"/>
      <c r="C141" s="125"/>
      <c r="D141" s="125"/>
      <c r="E141" s="125"/>
      <c r="F141" s="125"/>
      <c r="G141" s="125"/>
    </row>
    <row r="144" spans="2:11">
      <c r="B144" s="114"/>
      <c r="K144" s="114"/>
    </row>
    <row r="145" spans="2:15">
      <c r="C145" s="122"/>
      <c r="D145" s="122"/>
      <c r="E145" s="122"/>
      <c r="F145" s="122"/>
      <c r="G145" s="122"/>
      <c r="L145" s="122"/>
      <c r="M145" s="122"/>
      <c r="N145" s="122"/>
      <c r="O145" s="122"/>
    </row>
    <row r="146" spans="2:15">
      <c r="B146" s="126"/>
      <c r="C146" s="1"/>
      <c r="D146" s="1"/>
      <c r="E146" s="1"/>
      <c r="F146" s="1"/>
      <c r="G146" s="1"/>
      <c r="L146" s="128"/>
      <c r="M146" s="128"/>
      <c r="N146" s="128"/>
      <c r="O146" s="128"/>
    </row>
    <row r="147" spans="2:15">
      <c r="C147" s="1"/>
      <c r="D147" s="1"/>
      <c r="E147" s="1"/>
      <c r="F147" s="1"/>
      <c r="G147" s="1"/>
    </row>
    <row r="148" spans="2:15">
      <c r="C148" s="127"/>
      <c r="D148" s="127"/>
      <c r="E148" s="127"/>
      <c r="F148" s="127"/>
      <c r="G148" s="127"/>
    </row>
    <row r="150" spans="2:15">
      <c r="B150" s="126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6"/>
      <c r="C161" s="1"/>
      <c r="D161" s="1"/>
      <c r="E161" s="1"/>
      <c r="F161" s="1"/>
      <c r="G161" s="1"/>
    </row>
    <row r="163" spans="2:7">
      <c r="B163" s="126"/>
      <c r="C163" s="125"/>
      <c r="D163" s="125"/>
      <c r="E163" s="125"/>
      <c r="F163" s="125"/>
      <c r="G163" s="125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6"/>
      <c r="C168" s="125"/>
      <c r="D168" s="125"/>
      <c r="E168" s="125"/>
      <c r="F168" s="125"/>
      <c r="G168" s="125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T7" sqref="T7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25065.187110161416</v>
      </c>
      <c r="E6" s="13">
        <f>'Expanded Profit and Loss'!D28+'Expanded Profit and Loss'!D27</f>
        <v>25092.969024122132</v>
      </c>
      <c r="F6" s="13">
        <f>'Expanded Profit and Loss'!E28+'Expanded Profit and Loss'!E27</f>
        <v>25120.806722651319</v>
      </c>
      <c r="G6" s="13">
        <f>'Expanded Profit and Loss'!F28+'Expanded Profit and Loss'!F27</f>
        <v>25148.700531158986</v>
      </c>
      <c r="H6" s="13">
        <f>'Expanded Profit and Loss'!G28+'Expanded Profit and Loss'!G27</f>
        <v>25176.650776953309</v>
      </c>
      <c r="I6" s="13">
        <f>'Expanded Profit and Loss'!H28+'Expanded Profit and Loss'!H27</f>
        <v>25204.657789251803</v>
      </c>
      <c r="J6" s="13">
        <f>'Expanded Profit and Loss'!I28+'Expanded Profit and Loss'!I27</f>
        <v>25232.721899192416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2000000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2250833.3333333335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2275898.5204434949</v>
      </c>
      <c r="E15" s="27">
        <f t="shared" ref="E15:J15" si="3">E6+E12</f>
        <v>25926.302357455465</v>
      </c>
      <c r="F15" s="27">
        <f t="shared" si="3"/>
        <v>25954.140055984652</v>
      </c>
      <c r="G15" s="27">
        <f t="shared" si="3"/>
        <v>25982.033864492318</v>
      </c>
      <c r="H15" s="27">
        <f t="shared" si="3"/>
        <v>26009.984110286641</v>
      </c>
      <c r="I15" s="27">
        <f t="shared" si="3"/>
        <v>26037.991122585136</v>
      </c>
      <c r="J15" s="27">
        <f t="shared" si="3"/>
        <v>26066.055232525749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1639.3832369169959</v>
      </c>
      <c r="E18" s="6">
        <f>'Loan Amortization Table'!C15</f>
        <v>1648.9463057990124</v>
      </c>
      <c r="F18" s="6">
        <f>'Loan Amortization Table'!C16</f>
        <v>1658.5651592495069</v>
      </c>
      <c r="G18" s="6">
        <f>'Loan Amortization Table'!C17</f>
        <v>1668.2401226784623</v>
      </c>
      <c r="H18" s="6">
        <f>'Loan Amortization Table'!C18</f>
        <v>1677.9715233940879</v>
      </c>
      <c r="I18" s="6">
        <f>'Loan Amortization Table'!C19</f>
        <v>1687.7596906138861</v>
      </c>
      <c r="J18" s="6">
        <f>'Loan Amortization Table'!C20</f>
        <v>1697.604955475801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1925000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1927222.7165702502</v>
      </c>
      <c r="E22" s="26">
        <f t="shared" ref="E22:J22" si="5">SUM(E18:E21)</f>
        <v>2232.2796391323459</v>
      </c>
      <c r="F22" s="26">
        <f t="shared" si="5"/>
        <v>2241.8984925828404</v>
      </c>
      <c r="G22" s="26">
        <f t="shared" si="5"/>
        <v>2251.5734560117958</v>
      </c>
      <c r="H22" s="26">
        <f t="shared" si="5"/>
        <v>2261.3048567274213</v>
      </c>
      <c r="I22" s="26">
        <f t="shared" si="5"/>
        <v>2271.0930239472195</v>
      </c>
      <c r="J22" s="26">
        <f t="shared" si="5"/>
        <v>2280.9382888091345</v>
      </c>
    </row>
    <row r="23" spans="3:10">
      <c r="C23" s="30"/>
    </row>
    <row r="24" spans="3:10">
      <c r="C24" s="42" t="s">
        <v>27</v>
      </c>
      <c r="D24" s="25">
        <f>D15-D22</f>
        <v>348675.80387324467</v>
      </c>
      <c r="E24" s="25">
        <f t="shared" ref="E24:J24" si="6">E15-E22</f>
        <v>23694.022718323118</v>
      </c>
      <c r="F24" s="25">
        <f t="shared" si="6"/>
        <v>23712.241563401811</v>
      </c>
      <c r="G24" s="25">
        <f t="shared" si="6"/>
        <v>23730.460408480521</v>
      </c>
      <c r="H24" s="25">
        <f t="shared" si="6"/>
        <v>23748.679253559221</v>
      </c>
      <c r="I24" s="25">
        <f t="shared" si="6"/>
        <v>23766.898098637917</v>
      </c>
      <c r="J24" s="25">
        <f t="shared" si="6"/>
        <v>23785.116943716614</v>
      </c>
    </row>
    <row r="25" spans="3:10">
      <c r="C25" s="42" t="s">
        <v>6</v>
      </c>
      <c r="D25" s="25">
        <f>D24</f>
        <v>348675.80387324467</v>
      </c>
      <c r="E25" s="25">
        <f>D25+E24</f>
        <v>372369.82659156778</v>
      </c>
      <c r="F25" s="25">
        <f t="shared" ref="F25:J25" si="7">E25+F24</f>
        <v>396082.0681549696</v>
      </c>
      <c r="G25" s="25">
        <f t="shared" si="7"/>
        <v>419812.52856345015</v>
      </c>
      <c r="H25" s="25">
        <f t="shared" si="7"/>
        <v>443561.20781700936</v>
      </c>
      <c r="I25" s="25">
        <f t="shared" si="7"/>
        <v>467328.10591564729</v>
      </c>
      <c r="J25" s="25">
        <f t="shared" si="7"/>
        <v>491113.22285936389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25260.843439844717</v>
      </c>
      <c r="E31" s="13">
        <f>'Expanded Profit and Loss'!D56+'Expanded Profit and Loss'!D55</f>
        <v>25289.022746221217</v>
      </c>
      <c r="F31" s="13">
        <f>'Expanded Profit and Loss'!E56+'Expanded Profit and Loss'!E55</f>
        <v>25317.260155288604</v>
      </c>
      <c r="G31" s="13">
        <f>'Expanded Profit and Loss'!F56+'Expanded Profit and Loss'!F55</f>
        <v>25345.556005979259</v>
      </c>
      <c r="H31" s="13">
        <f>'Expanded Profit and Loss'!G56+'Expanded Profit and Loss'!G55</f>
        <v>25373.910639202652</v>
      </c>
      <c r="I31" s="13">
        <f>'Cash Flow Analysis'!E6</f>
        <v>302628.28684002761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2000000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2260000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26094.176773178049</v>
      </c>
      <c r="E40" s="27">
        <f t="shared" ref="E40:H40" si="13">E31+E37</f>
        <v>26122.356079554549</v>
      </c>
      <c r="F40" s="27">
        <f t="shared" si="13"/>
        <v>26150.593488621937</v>
      </c>
      <c r="G40" s="27">
        <f t="shared" si="13"/>
        <v>26178.889339312591</v>
      </c>
      <c r="H40" s="27">
        <f t="shared" si="13"/>
        <v>26207.243972535984</v>
      </c>
      <c r="I40" s="36">
        <f>'Cash Flow Analysis'!E15</f>
        <v>2562628.2868400277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1707.5076510494091</v>
      </c>
      <c r="E43" s="6">
        <f>'Loan Amortization Table'!C22</f>
        <v>1717.4681123471983</v>
      </c>
      <c r="F43" s="6">
        <f>'Loan Amortization Table'!C23</f>
        <v>1727.4866763358896</v>
      </c>
      <c r="G43" s="6">
        <f>'Loan Amortization Table'!C24</f>
        <v>1737.5636819478477</v>
      </c>
      <c r="H43" s="6">
        <f>'Loan Amortization Table'!C25</f>
        <v>1747.6994700925443</v>
      </c>
      <c r="I43" s="6">
        <f>'Cash Flow Analysis'!E18</f>
        <v>20316.196585900638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1925000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211839.80078801932</v>
      </c>
      <c r="I46" s="13">
        <f>'Cash Flow Analysis'!E21</f>
        <v>211839.80078801932</v>
      </c>
      <c r="J46" s="30"/>
    </row>
    <row r="47" spans="3:10">
      <c r="C47" s="37" t="s">
        <v>26</v>
      </c>
      <c r="D47" s="26">
        <f>SUM(D43:D46)</f>
        <v>2290.8409843827426</v>
      </c>
      <c r="E47" s="26">
        <f t="shared" ref="E47:H47" si="15">SUM(E43:E46)</f>
        <v>2300.8014456805317</v>
      </c>
      <c r="F47" s="26">
        <f t="shared" si="15"/>
        <v>2310.8200096692231</v>
      </c>
      <c r="G47" s="26">
        <f t="shared" si="15"/>
        <v>2320.8970152811812</v>
      </c>
      <c r="H47" s="26">
        <f t="shared" si="15"/>
        <v>214170.8335914452</v>
      </c>
      <c r="I47" s="26">
        <f>'Cash Flow Analysis'!E22</f>
        <v>2164155.9973739199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23803.335788795306</v>
      </c>
      <c r="E49" s="25">
        <f t="shared" ref="E49:H49" si="16">E40-E47</f>
        <v>23821.554633874017</v>
      </c>
      <c r="F49" s="25">
        <f t="shared" si="16"/>
        <v>23839.773478952713</v>
      </c>
      <c r="G49" s="25">
        <f t="shared" si="16"/>
        <v>23857.992324031409</v>
      </c>
      <c r="H49" s="25">
        <f t="shared" si="16"/>
        <v>-187963.58961890923</v>
      </c>
      <c r="I49" s="45">
        <f>'Cash Flow Analysis'!E24</f>
        <v>398472.28946610773</v>
      </c>
      <c r="J49" s="30"/>
    </row>
    <row r="50" spans="3:10">
      <c r="C50" s="42" t="s">
        <v>6</v>
      </c>
      <c r="D50" s="25">
        <f>J25+D49</f>
        <v>514916.5586481592</v>
      </c>
      <c r="E50" s="25">
        <f>D50+E49</f>
        <v>538738.11328203324</v>
      </c>
      <c r="F50" s="25">
        <f t="shared" ref="F50:H50" si="17">E50+F49</f>
        <v>562577.88676098594</v>
      </c>
      <c r="G50" s="25">
        <f t="shared" si="17"/>
        <v>586435.87908501737</v>
      </c>
      <c r="H50" s="25">
        <f t="shared" si="17"/>
        <v>398472.28946610814</v>
      </c>
      <c r="I50" s="45">
        <f>'Cash Flow Analysis'!E25</f>
        <v>398472.28946610773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92375.202181948203</v>
      </c>
      <c r="E58" s="48">
        <f>'Expanded Profit and Loss'!D84+'Expanded Profit and Loss'!D83</f>
        <v>92468.573593633773</v>
      </c>
      <c r="F58" s="48">
        <f>'Expanded Profit and Loss'!E84+'Expanded Profit and Loss'!E83</f>
        <v>92563.588555222595</v>
      </c>
      <c r="G58" s="48">
        <f>'Expanded Profit and Loss'!F84+'Expanded Profit and Loss'!F83</f>
        <v>92660.275996943237</v>
      </c>
      <c r="H58" s="46">
        <f>'Cash Flow Analysis'!F6</f>
        <v>370067.64032774779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94925.202181948203</v>
      </c>
      <c r="E67" s="48">
        <f t="shared" ref="E67:G67" si="19">E58+E64</f>
        <v>95018.573593633773</v>
      </c>
      <c r="F67" s="48">
        <f t="shared" si="19"/>
        <v>95113.588555222595</v>
      </c>
      <c r="G67" s="48">
        <f t="shared" si="19"/>
        <v>95210.275996943237</v>
      </c>
      <c r="H67" s="27">
        <f>'Cash Flow Analysis'!F15</f>
        <v>380267.64032774779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5304.5061199578831</v>
      </c>
      <c r="E70" s="50">
        <f>SUM('Loan Amortization Table'!C29:C31)</f>
        <v>5397.8775316434694</v>
      </c>
      <c r="F70" s="50">
        <f>SUM('Loan Amortization Table'!C32:C34)</f>
        <v>5492.8924932322861</v>
      </c>
      <c r="G70" s="50">
        <f>SUM('Loan Amortization Table'!C35:C37)</f>
        <v>5589.5799349529334</v>
      </c>
      <c r="H70" s="32">
        <f>'Cash Flow Analysis'!F18</f>
        <v>21784.856079786568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18503.38201638739</v>
      </c>
      <c r="E72" s="50">
        <v>0</v>
      </c>
      <c r="F72" s="50">
        <v>0</v>
      </c>
      <c r="G72" s="50">
        <v>0</v>
      </c>
      <c r="H72" s="32">
        <f>'Cash Flow Analysis'!F20</f>
        <v>18503.38201638739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259047.34822942343</v>
      </c>
      <c r="H73" s="13">
        <f>'Cash Flow Analysis'!F21</f>
        <v>259047.34822942343</v>
      </c>
    </row>
    <row r="74" spans="3:8">
      <c r="C74" s="37" t="s">
        <v>26</v>
      </c>
      <c r="D74" s="51">
        <f>SUM(D70:D73)</f>
        <v>25592.888136345275</v>
      </c>
      <c r="E74" s="51">
        <f t="shared" ref="E74:G74" si="20">SUM(E70:E73)</f>
        <v>7182.8775316434694</v>
      </c>
      <c r="F74" s="51">
        <f t="shared" si="20"/>
        <v>7277.8924932322861</v>
      </c>
      <c r="G74" s="51">
        <f t="shared" si="20"/>
        <v>266421.92816437635</v>
      </c>
      <c r="H74" s="34">
        <f>'Cash Flow Analysis'!F22</f>
        <v>306475.58632559737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69332.314045602921</v>
      </c>
      <c r="E76" s="52">
        <f t="shared" ref="E76:G76" si="21">E67-E74</f>
        <v>87835.696061990311</v>
      </c>
      <c r="F76" s="52">
        <f t="shared" si="21"/>
        <v>87835.696061990311</v>
      </c>
      <c r="G76" s="52">
        <f t="shared" si="21"/>
        <v>-171211.65216743312</v>
      </c>
      <c r="H76" s="40">
        <f>'Cash Flow Analysis'!F24</f>
        <v>73792.054002150428</v>
      </c>
    </row>
    <row r="77" spans="3:8">
      <c r="C77" s="42" t="s">
        <v>6</v>
      </c>
      <c r="D77" s="52">
        <f>I50+D76</f>
        <v>467804.60351171065</v>
      </c>
      <c r="E77" s="52">
        <f>D77+E76</f>
        <v>555640.29957370099</v>
      </c>
      <c r="F77" s="52">
        <f t="shared" ref="F77:G77" si="22">E77+F76</f>
        <v>643475.99563569133</v>
      </c>
      <c r="G77" s="52">
        <f t="shared" si="22"/>
        <v>472264.34346825822</v>
      </c>
      <c r="H77" s="40">
        <f>'Cash Flow Analysis'!F25</f>
        <v>472264.34346825816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111045.10980175369</v>
      </c>
      <c r="E84" s="48">
        <f>'Expanded Profit and Loss'!D114+'Expanded Profit and Loss'!D113</f>
        <v>111145.23104033968</v>
      </c>
      <c r="F84" s="48">
        <f>'Expanded Profit and Loss'!E114+'Expanded Profit and Loss'!E113</f>
        <v>111247.11464118431</v>
      </c>
      <c r="G84" s="48">
        <f>'Expanded Profit and Loss'!F114+'Expanded Profit and Loss'!F113</f>
        <v>111350.79162588473</v>
      </c>
      <c r="H84" s="27">
        <f>'Cash Flow Analysis'!G6</f>
        <v>444788.24710916239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113646.10980175369</v>
      </c>
      <c r="E93" s="48">
        <f t="shared" ref="E93:G93" si="24">E90+E84</f>
        <v>113746.23104033968</v>
      </c>
      <c r="F93" s="48">
        <f t="shared" si="24"/>
        <v>113848.11464118431</v>
      </c>
      <c r="G93" s="48">
        <f t="shared" si="24"/>
        <v>113951.79162588473</v>
      </c>
      <c r="H93" s="27">
        <f>'Cash Flow Analysis'!G15</f>
        <v>455192.24710916239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5687.9692962720419</v>
      </c>
      <c r="E96" s="50">
        <f>SUM('Loan Amortization Table'!C41:C43)</f>
        <v>5788.0905348580345</v>
      </c>
      <c r="F96" s="50">
        <f>SUM('Loan Amortization Table'!C44:C46)</f>
        <v>5889.9741357026633</v>
      </c>
      <c r="G96" s="50">
        <f>SUM('Loan Amortization Table'!C47:C49)</f>
        <v>5993.6511204030739</v>
      </c>
      <c r="H96" s="32">
        <f>'Cash Flow Analysis'!G18</f>
        <v>23359.685087235815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22239.41235545812</v>
      </c>
      <c r="E98" s="50">
        <v>0</v>
      </c>
      <c r="F98" s="50">
        <v>0</v>
      </c>
      <c r="G98" s="50">
        <v>0</v>
      </c>
      <c r="H98" s="32">
        <f>'Cash Flow Analysis'!G20</f>
        <v>22239.41235545812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311351.77297641366</v>
      </c>
      <c r="H99" s="13">
        <f>'Cash Flow Analysis'!G21</f>
        <v>311351.77297641366</v>
      </c>
    </row>
    <row r="100" spans="3:8">
      <c r="C100" s="37" t="s">
        <v>26</v>
      </c>
      <c r="D100" s="51">
        <f>SUM(D96:D99)</f>
        <v>29748.081651730161</v>
      </c>
      <c r="E100" s="51">
        <f t="shared" ref="E100:G100" si="26">SUM(E96:E99)</f>
        <v>7608.7905348580343</v>
      </c>
      <c r="F100" s="51">
        <f t="shared" si="26"/>
        <v>7710.6741357026631</v>
      </c>
      <c r="G100" s="51">
        <f t="shared" si="26"/>
        <v>319166.12409681675</v>
      </c>
      <c r="H100" s="34">
        <f>'Cash Flow Analysis'!G22</f>
        <v>364233.6704191076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83898.028150023529</v>
      </c>
      <c r="E102" s="52">
        <f t="shared" ref="E102:G102" si="27">E93-E100</f>
        <v>106137.44050548165</v>
      </c>
      <c r="F102" s="52">
        <f t="shared" si="27"/>
        <v>106137.44050548165</v>
      </c>
      <c r="G102" s="52">
        <f t="shared" si="27"/>
        <v>-205214.33247093204</v>
      </c>
      <c r="H102" s="40">
        <f>'Cash Flow Analysis'!G24</f>
        <v>90958.57669005479</v>
      </c>
    </row>
    <row r="103" spans="3:8">
      <c r="C103" s="42" t="s">
        <v>6</v>
      </c>
      <c r="D103" s="52">
        <f>G77+D102</f>
        <v>556162.3716182817</v>
      </c>
      <c r="E103" s="52">
        <f>D103+E102</f>
        <v>662299.81212376337</v>
      </c>
      <c r="F103" s="52">
        <f t="shared" ref="F103:G103" si="28">E103+F102</f>
        <v>768437.25262924505</v>
      </c>
      <c r="G103" s="52">
        <f t="shared" si="28"/>
        <v>563222.92015831301</v>
      </c>
      <c r="H103" s="40">
        <f>'Cash Flow Analysis'!G25</f>
        <v>563222.92015831289</v>
      </c>
    </row>
    <row r="106" spans="3:8">
      <c r="C106" s="114"/>
      <c r="D106" s="114"/>
      <c r="E106" s="114"/>
      <c r="F106" s="114"/>
      <c r="G106" s="114"/>
      <c r="H106" s="114"/>
    </row>
    <row r="107" spans="3:8">
      <c r="D107" s="122"/>
      <c r="E107" s="122"/>
      <c r="F107" s="122"/>
      <c r="G107" s="122"/>
      <c r="H107" s="122"/>
    </row>
    <row r="108" spans="3:8">
      <c r="C108" s="126"/>
      <c r="D108" s="125"/>
      <c r="E108" s="125"/>
      <c r="F108" s="125"/>
      <c r="G108" s="125"/>
      <c r="H108" s="125"/>
    </row>
    <row r="110" spans="3:8">
      <c r="C110" s="126"/>
      <c r="D110" s="126"/>
      <c r="E110" s="126"/>
      <c r="F110" s="126"/>
      <c r="G110" s="126"/>
      <c r="H110" s="126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6"/>
      <c r="D114" s="125"/>
      <c r="E114" s="125"/>
      <c r="F114" s="125"/>
      <c r="G114" s="125"/>
      <c r="H114" s="125"/>
    </row>
    <row r="117" spans="3:10">
      <c r="C117" s="126"/>
      <c r="D117" s="125"/>
      <c r="E117" s="125"/>
      <c r="F117" s="125"/>
      <c r="G117" s="125"/>
      <c r="H117" s="125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6"/>
      <c r="D124" s="125"/>
      <c r="E124" s="125"/>
      <c r="F124" s="125"/>
      <c r="G124" s="125"/>
      <c r="H124" s="125"/>
    </row>
    <row r="126" spans="3:10">
      <c r="C126" s="126"/>
      <c r="D126" s="125"/>
      <c r="E126" s="125"/>
      <c r="F126" s="125"/>
      <c r="G126" s="125"/>
      <c r="H126" s="125"/>
    </row>
    <row r="127" spans="3:10">
      <c r="C127" s="126"/>
      <c r="D127" s="125"/>
      <c r="E127" s="125"/>
      <c r="F127" s="125"/>
      <c r="G127" s="125"/>
      <c r="H127" s="125"/>
    </row>
    <row r="128" spans="3:10">
      <c r="J128" s="1"/>
    </row>
    <row r="130" spans="3:8">
      <c r="C130" s="114"/>
      <c r="D130" s="114"/>
      <c r="E130" s="114"/>
      <c r="F130" s="114"/>
      <c r="G130" s="114"/>
      <c r="H130" s="114"/>
    </row>
    <row r="131" spans="3:8">
      <c r="D131" s="122"/>
      <c r="E131" s="122"/>
      <c r="F131" s="122"/>
      <c r="G131" s="122"/>
      <c r="H131" s="122"/>
    </row>
    <row r="132" spans="3:8">
      <c r="C132" s="126"/>
      <c r="D132" s="125"/>
      <c r="E132" s="125"/>
      <c r="F132" s="125"/>
      <c r="G132" s="125"/>
      <c r="H132" s="125"/>
    </row>
    <row r="134" spans="3:8">
      <c r="C134" s="126"/>
      <c r="D134" s="126"/>
      <c r="E134" s="126"/>
      <c r="F134" s="126"/>
      <c r="G134" s="126"/>
      <c r="H134" s="126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6"/>
      <c r="D138" s="125"/>
      <c r="E138" s="125"/>
      <c r="F138" s="125"/>
      <c r="G138" s="125"/>
      <c r="H138" s="125"/>
    </row>
    <row r="141" spans="3:8">
      <c r="C141" s="126"/>
      <c r="D141" s="125"/>
      <c r="E141" s="125"/>
      <c r="F141" s="125"/>
      <c r="G141" s="125"/>
      <c r="H141" s="125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6"/>
      <c r="D148" s="125"/>
      <c r="E148" s="125"/>
      <c r="F148" s="125"/>
      <c r="G148" s="125"/>
      <c r="H148" s="125"/>
    </row>
    <row r="150" spans="3:8">
      <c r="C150" s="126"/>
      <c r="D150" s="125"/>
      <c r="E150" s="125"/>
      <c r="F150" s="125"/>
      <c r="G150" s="125"/>
      <c r="H150" s="125"/>
    </row>
    <row r="151" spans="3:8">
      <c r="C151" s="126"/>
      <c r="D151" s="125"/>
      <c r="E151" s="125"/>
      <c r="F151" s="125"/>
      <c r="G151" s="125"/>
      <c r="H151" s="125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22" sqref="J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9"/>
      <c r="J4" s="97" t="s">
        <v>9</v>
      </c>
      <c r="K4" s="98">
        <v>1</v>
      </c>
      <c r="L4" s="98">
        <v>2</v>
      </c>
      <c r="M4" s="102">
        <v>3</v>
      </c>
    </row>
    <row r="5" spans="5:13">
      <c r="E5" s="110" t="s">
        <v>55</v>
      </c>
      <c r="F5" s="111">
        <v>0</v>
      </c>
      <c r="G5" s="111">
        <f>Inputs!C46</f>
        <v>0.1</v>
      </c>
      <c r="H5" s="111">
        <f>Inputs!C47</f>
        <v>0.1</v>
      </c>
      <c r="I5" s="128"/>
      <c r="J5" s="110"/>
      <c r="K5" s="111"/>
      <c r="L5" s="111"/>
      <c r="M5" s="111"/>
    </row>
    <row r="6" spans="5:13">
      <c r="E6" s="94" t="str">
        <f>Inputs!B5</f>
        <v>Assisted Living Fees</v>
      </c>
      <c r="F6" s="94">
        <f>SUM(Inputs!C32:N32)</f>
        <v>1201320</v>
      </c>
      <c r="G6" s="94">
        <f t="shared" ref="G6:H15" si="0">F6*(1+G$5)</f>
        <v>1321452</v>
      </c>
      <c r="H6" s="94">
        <f t="shared" si="0"/>
        <v>1453597.2000000002</v>
      </c>
      <c r="I6" s="130"/>
      <c r="J6" s="94" t="str">
        <f>E6</f>
        <v>Assisted Living Fees</v>
      </c>
      <c r="K6" s="146">
        <f>F6/$F$16</f>
        <v>0.95238095238095233</v>
      </c>
      <c r="L6" s="146">
        <f>G6/$G$16</f>
        <v>0.95238095238095233</v>
      </c>
      <c r="M6" s="146">
        <f>H6/$H$16</f>
        <v>0.95238095238095233</v>
      </c>
    </row>
    <row r="7" spans="5:13">
      <c r="E7" s="94" t="str">
        <f>Inputs!B6</f>
        <v>Other Income</v>
      </c>
      <c r="F7" s="94">
        <f>SUM(Inputs!C33:N33)</f>
        <v>60066</v>
      </c>
      <c r="G7" s="94">
        <f t="shared" si="0"/>
        <v>66072.600000000006</v>
      </c>
      <c r="H7" s="94">
        <f t="shared" si="0"/>
        <v>72679.860000000015</v>
      </c>
      <c r="I7" s="130"/>
      <c r="J7" s="94" t="str">
        <f t="shared" ref="J7:J15" si="1">E7</f>
        <v>Other Income</v>
      </c>
      <c r="K7" s="146">
        <f t="shared" ref="K7:K15" si="2">F7/$F$16</f>
        <v>4.7619047619047616E-2</v>
      </c>
      <c r="L7" s="146">
        <f t="shared" ref="L7:L15" si="3">G7/$G$16</f>
        <v>4.7619047619047623E-2</v>
      </c>
      <c r="M7" s="146">
        <f t="shared" ref="M7:M15" si="4">H7/$H$16</f>
        <v>4.7619047619047623E-2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30"/>
      <c r="J8" s="94" t="str">
        <f t="shared" si="1"/>
        <v>Item 3</v>
      </c>
      <c r="K8" s="146">
        <f t="shared" si="2"/>
        <v>0</v>
      </c>
      <c r="L8" s="146">
        <f t="shared" si="3"/>
        <v>0</v>
      </c>
      <c r="M8" s="146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30"/>
      <c r="J9" s="94" t="str">
        <f t="shared" si="1"/>
        <v>Item 4</v>
      </c>
      <c r="K9" s="146">
        <f t="shared" si="2"/>
        <v>0</v>
      </c>
      <c r="L9" s="146">
        <f t="shared" si="3"/>
        <v>0</v>
      </c>
      <c r="M9" s="146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30"/>
      <c r="J10" s="94" t="str">
        <f t="shared" si="1"/>
        <v>Item 5</v>
      </c>
      <c r="K10" s="146">
        <f t="shared" si="2"/>
        <v>0</v>
      </c>
      <c r="L10" s="146">
        <f t="shared" si="3"/>
        <v>0</v>
      </c>
      <c r="M10" s="146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30"/>
      <c r="J11" s="94" t="str">
        <f t="shared" si="1"/>
        <v>Item 6</v>
      </c>
      <c r="K11" s="146">
        <f t="shared" si="2"/>
        <v>0</v>
      </c>
      <c r="L11" s="146">
        <f t="shared" si="3"/>
        <v>0</v>
      </c>
      <c r="M11" s="146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30"/>
      <c r="J12" s="94" t="str">
        <f t="shared" si="1"/>
        <v>Item 7</v>
      </c>
      <c r="K12" s="146">
        <f t="shared" si="2"/>
        <v>0</v>
      </c>
      <c r="L12" s="146">
        <f t="shared" si="3"/>
        <v>0</v>
      </c>
      <c r="M12" s="146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30"/>
      <c r="J13" s="94" t="str">
        <f t="shared" si="1"/>
        <v>Item 8</v>
      </c>
      <c r="K13" s="146">
        <f t="shared" si="2"/>
        <v>0</v>
      </c>
      <c r="L13" s="146">
        <f t="shared" si="3"/>
        <v>0</v>
      </c>
      <c r="M13" s="146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30"/>
      <c r="J14" s="94" t="str">
        <f t="shared" si="1"/>
        <v>Item 9</v>
      </c>
      <c r="K14" s="146">
        <f t="shared" si="2"/>
        <v>0</v>
      </c>
      <c r="L14" s="146">
        <f t="shared" si="3"/>
        <v>0</v>
      </c>
      <c r="M14" s="146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30"/>
      <c r="J15" s="94" t="str">
        <f t="shared" si="1"/>
        <v>Item 10</v>
      </c>
      <c r="K15" s="146">
        <f t="shared" si="2"/>
        <v>0</v>
      </c>
      <c r="L15" s="146">
        <f t="shared" si="3"/>
        <v>0</v>
      </c>
      <c r="M15" s="146">
        <f t="shared" si="4"/>
        <v>0</v>
      </c>
    </row>
    <row r="16" spans="5:13">
      <c r="E16" s="99" t="s">
        <v>8</v>
      </c>
      <c r="F16" s="99">
        <f>SUM(F6:F15)</f>
        <v>1261386</v>
      </c>
      <c r="G16" s="99">
        <f>SUM(G6:G15)</f>
        <v>1387524.6</v>
      </c>
      <c r="H16" s="99">
        <f>SUM(H6:H15)</f>
        <v>1526277.0600000003</v>
      </c>
      <c r="I16" s="134"/>
      <c r="J16" s="145"/>
      <c r="K16" s="145"/>
      <c r="L16" s="145"/>
      <c r="M16" s="145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4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9"/>
      <c r="J19" s="63"/>
      <c r="K19" s="129"/>
      <c r="L19" s="129"/>
      <c r="M19" s="129"/>
    </row>
    <row r="20" spans="5:13">
      <c r="E20" s="110" t="s">
        <v>55</v>
      </c>
      <c r="F20" s="111">
        <v>0</v>
      </c>
      <c r="G20" s="111">
        <f>G5</f>
        <v>0.1</v>
      </c>
      <c r="H20" s="111">
        <f>H5</f>
        <v>0.1</v>
      </c>
      <c r="I20" s="128"/>
      <c r="K20" s="128"/>
      <c r="L20" s="128"/>
      <c r="M20" s="128"/>
    </row>
    <row r="21" spans="5:13">
      <c r="E21" s="94" t="str">
        <f>E6</f>
        <v>Assisted Living Fees</v>
      </c>
      <c r="F21" s="94">
        <f>SUM(Inputs!C51:N51)</f>
        <v>60066</v>
      </c>
      <c r="G21" s="94">
        <f t="shared" ref="G21:H30" si="5">F21*(1+G$20)</f>
        <v>66072.600000000006</v>
      </c>
      <c r="H21" s="94">
        <f t="shared" si="5"/>
        <v>72679.860000000015</v>
      </c>
      <c r="I21" s="130"/>
      <c r="J21" s="130"/>
      <c r="K21" s="130"/>
      <c r="L21" s="130"/>
      <c r="M21" s="130"/>
    </row>
    <row r="22" spans="5:13">
      <c r="E22" s="94" t="str">
        <f t="shared" ref="E22:E30" si="6">E7</f>
        <v>Other Income</v>
      </c>
      <c r="F22" s="94">
        <f>SUM(Inputs!C52:N52)</f>
        <v>3003.3</v>
      </c>
      <c r="G22" s="94">
        <f t="shared" si="5"/>
        <v>3303.6300000000006</v>
      </c>
      <c r="H22" s="94">
        <f t="shared" si="5"/>
        <v>3633.9930000000008</v>
      </c>
      <c r="I22" s="130"/>
      <c r="J22" s="130"/>
      <c r="K22" s="130"/>
      <c r="L22" s="130"/>
      <c r="M22" s="130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30"/>
      <c r="J23" s="130"/>
      <c r="K23" s="130"/>
      <c r="L23" s="130"/>
      <c r="M23" s="130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30"/>
      <c r="J24" s="130"/>
      <c r="K24" s="130"/>
      <c r="L24" s="130"/>
      <c r="M24" s="130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30"/>
      <c r="J25" s="130"/>
      <c r="K25" s="130"/>
      <c r="L25" s="130"/>
      <c r="M25" s="130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30"/>
      <c r="J26" s="130"/>
      <c r="K26" s="130"/>
      <c r="L26" s="130"/>
      <c r="M26" s="130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30"/>
      <c r="J27" s="130"/>
      <c r="K27" s="130"/>
      <c r="L27" s="130"/>
      <c r="M27" s="130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30"/>
      <c r="J28" s="130"/>
      <c r="K28" s="130"/>
      <c r="L28" s="130"/>
      <c r="M28" s="130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30"/>
      <c r="J29" s="130"/>
      <c r="K29" s="130"/>
      <c r="L29" s="130"/>
      <c r="M29" s="130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30"/>
      <c r="J30" s="130"/>
      <c r="K30" s="130"/>
      <c r="L30" s="130"/>
      <c r="M30" s="130"/>
    </row>
    <row r="31" spans="5:13">
      <c r="E31" s="100" t="s">
        <v>8</v>
      </c>
      <c r="F31" s="100">
        <f>SUM(F21:F30)</f>
        <v>63069.3</v>
      </c>
      <c r="G31" s="100">
        <f>SUM(G21:G30)</f>
        <v>69376.23000000001</v>
      </c>
      <c r="H31" s="100">
        <f>SUM(H21:H30)</f>
        <v>76313.853000000017</v>
      </c>
      <c r="I31" s="130"/>
      <c r="J31" s="130"/>
      <c r="K31" s="130"/>
      <c r="L31" s="130"/>
      <c r="M31" s="130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2025-10-02T20:20:54Z</dcterms:modified>
</cp:coreProperties>
</file>