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Beauty School\"/>
    </mc:Choice>
  </mc:AlternateContent>
  <xr:revisionPtr revIDLastSave="0" documentId="13_ncr:1_{03D55A69-CC02-49D4-8909-E1742A0860DB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3" l="1"/>
  <c r="L36" i="7"/>
  <c r="B29" i="7"/>
  <c r="G11" i="7" s="1"/>
  <c r="H8" i="14"/>
  <c r="G8" i="14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D33" i="23" l="1"/>
  <c r="D52" i="23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M36" i="7" s="1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<sst xmlns="http://schemas.openxmlformats.org/spreadsheetml/2006/main" count="324" uniqueCount="140">
  <si>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</si>
  <si>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</si>
  <si>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</si>
  <si>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</si>
  <si>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</si>
  <si>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</si>
  <si>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</si>
  <si>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</si>
  <si>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</si>
  <si>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</si>
  <si>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</si>
  <si>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</si>
  <si>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</si>
  <si>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</si>
  <si>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</si>
  <si>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</si>
  <si>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</si>
  <si>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</si>
  <si>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</si>
  <si>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</si>
  <si>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</si>
  <si>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</si>
  <si>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</si>
  <si>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</si>
  <si>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</si>
  <si>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</si>
  <si>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</si>
  <si>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</si>
  <si>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</si>
  <si>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</si>
  <si>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</si>
  <si>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</si>
  <si>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</si>
  <si>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</si>
  <si>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</si>
  <si>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</si>
  <si>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</si>
  <si>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</si>
  <si>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</si>
  <si>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</si>
  <si>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</si>
  <si>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</si>
  <si>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</si>
  <si>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</si>
  <si>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</si>
  <si>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</si>
  <si>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</si>
  <si>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</si>
  <si>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</si>
  <si>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</si>
  <si>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</si>
  <si>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</si>
  <si>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</si>
  <si>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</si>
  <si>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</si>
  <si>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</si>
  <si>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</si>
  <si>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</si>
  <si>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</si>
  <si>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</si>
  <si>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</si>
  <si>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</si>
  <si>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</si>
  <si>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</si>
  <si>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</si>
  <si>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</si>
  <si>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</si>
  <si>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</si>
  <si>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</si>
  <si>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</si>
  <si>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</si>
  <si>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</si>
  <si>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</si>
  <si>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</si>
  <si>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</si>
  <si>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</si>
  <si>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</si>
  <si>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</si>
  <si>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</si>
  <si>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</si>
  <si>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</si>
  <si>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</si>
  <si>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</si>
  <si>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</si>
  <si>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</si>
  <si>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</si>
  <si>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</si>
  <si>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</si>
  <si>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</si>
  <si>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</si>
  <si>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</si>
  <si>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</si>
  <si>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</si>
  <si>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</si>
  <si>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</si>
  <si>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</si>
  <si>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</si>
  <si>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</si>
  <si>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</si>
  <si>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</si>
  <si>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</si>
  <si>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</si>
  <si>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</si>
  <si>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</si>
  <si>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</si>
  <si>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</si>
  <si>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</si>
  <si>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</si>
  <si>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</si>
  <si>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</si>
  <si>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</si>
  <si>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</si>
  <si>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</si>
  <si>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</si>
  <si>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</si>
  <si>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Initial Marketing</t>
  </si>
  <si>
    <t>Equipment</t>
  </si>
  <si>
    <t>Initial Payroll</t>
  </si>
  <si>
    <t>Facility Costs</t>
  </si>
  <si>
    <t>Marketing</t>
  </si>
  <si>
    <t>Equipment Costs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</si>
  <si>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</si>
  <si>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</si>
  <si>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</si>
  <si>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</si>
  <si>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</si>
  <si>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</si>
  <si>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</si>
  <si>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Owner</t>
  </si>
  <si>
    <t>Assistants</t>
  </si>
  <si>
    <t>Operations Manager</t>
  </si>
  <si>
    <t>Teaching Services</t>
  </si>
  <si>
    <t>Staff Instructors</t>
  </si>
  <si>
    <t>Bookkeeper</t>
  </si>
  <si>
    <t>Beauty Sservices</t>
  </si>
  <si>
    <t>6021 Media Holdings</t>
  </si>
  <si>
    <t>Postion 7</t>
  </si>
  <si>
    <t>Postion 8</t>
  </si>
  <si>
    <t>Postion 9</t>
  </si>
  <si>
    <t>https://HumanIntelligenceBusiness 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</si>
</sst>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153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2"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132692.01481166098</c:v>
                </c:pt>
                <c:pt idx="1">
                  <c:v>213598.9897040801</c:v>
                </c:pt>
                <c:pt idx="2">
                  <c:v>284944.21229059517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19390.1760810341</c:v>
                </c:pt>
                <c:pt idx="1">
                  <c:v>21209.108344490007</c:v>
                </c:pt>
                <c:pt idx="2">
                  <c:v>23198.669000654372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92884.410368162673</c:v>
                </c:pt>
                <c:pt idx="1">
                  <c:v>149519.29279285605</c:v>
                </c:pt>
                <c:pt idx="2">
                  <c:v>199460.94860341662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132692.01481166098</c:v>
                </c:pt>
                <c:pt idx="1">
                  <c:v>213598.9897040801</c:v>
                </c:pt>
                <c:pt idx="2">
                  <c:v>284944.21229059517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78B-41BC-8167-4B507371F56B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78B-41BC-8167-4B507371F56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92884.410368162673</c:v>
                </c:pt>
                <c:pt idx="1">
                  <c:v>149519.29279285605</c:v>
                </c:pt>
                <c:pt idx="2">
                  <c:v>199460.94860341662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358417.42836246418</c:v>
                </c:pt>
                <c:pt idx="1">
                  <c:v>283609.82391896599</c:v>
                </c:pt>
                <c:pt idx="2">
                  <c:v>74807.604443498189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389348.01692919823</c:v>
                </c:pt>
                <c:pt idx="1">
                  <c:v>265460.71557447594</c:v>
                </c:pt>
                <c:pt idx="2">
                  <c:v>123887.30135472229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439753.81161572237</c:v>
                </c:pt>
                <c:pt idx="1">
                  <c:v>245383.24657382161</c:v>
                </c:pt>
                <c:pt idx="2">
                  <c:v>194370.56504190076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358417.42836246418</c:v>
                </c:pt>
                <c:pt idx="1">
                  <c:v>389348.01692919823</c:v>
                </c:pt>
                <c:pt idx="2">
                  <c:v>439753.81161572237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6-492D-B60D-2E58CCFF13A0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283609.82391896599</c:v>
                </c:pt>
                <c:pt idx="1">
                  <c:v>265460.71557447594</c:v>
                </c:pt>
                <c:pt idx="2">
                  <c:v>245383.24657382161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6-492D-B60D-2E58CCFF13A0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74807.604443498189</c:v>
                </c:pt>
                <c:pt idx="1">
                  <c:v>123887.30135472229</c:v>
                </c:pt>
                <c:pt idx="2">
                  <c:v>194370.56504190076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6-492D-B60D-2E58CCFF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5763983"/>
        <c:axId val="2124851855"/>
      </c:barChart>
      <c:catAx>
        <c:axId val="213576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851855"/>
        <c:crosses val="autoZero"/>
        <c:auto val="1"/>
        <c:lblAlgn val="ctr"/>
        <c:lblOffset val="100"/>
        <c:noMultiLvlLbl val="0"/>
      </c:catAx>
      <c:valAx>
        <c:axId val="212485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76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560568.53735999996</c:v>
                </c:pt>
                <c:pt idx="1">
                  <c:v>586409.98483199999</c:v>
                </c:pt>
                <c:pt idx="2">
                  <c:v>612612.12175679987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560568.53735999996</c:v>
                </c:pt>
                <c:pt idx="1">
                  <c:v>586409.98483199999</c:v>
                </c:pt>
                <c:pt idx="2">
                  <c:v>612612.12175679987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811782</c:v>
                </c:pt>
                <c:pt idx="1">
                  <c:v>974138.4</c:v>
                </c:pt>
                <c:pt idx="2">
                  <c:v>1120259.1599999999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467140.44780000002</c:v>
                </c:pt>
                <c:pt idx="1">
                  <c:v>488674.98736000003</c:v>
                </c:pt>
                <c:pt idx="2">
                  <c:v>510510.10146399995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209344.55219999998</c:v>
                </c:pt>
                <c:pt idx="1">
                  <c:v>323107.01263999997</c:v>
                </c:pt>
                <c:pt idx="2">
                  <c:v>423039.19853599998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811782</c:v>
                </c:pt>
                <c:pt idx="1">
                  <c:v>974138.4</c:v>
                </c:pt>
                <c:pt idx="2">
                  <c:v>1120259.1599999999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209344.55219999998</c:v>
                </c:pt>
                <c:pt idx="1">
                  <c:v>323107.01263999997</c:v>
                </c:pt>
                <c:pt idx="2">
                  <c:v>423039.19853599998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467140.44780000002</c:v>
                </c:pt>
                <c:pt idx="1">
                  <c:v>488674.98736000003</c:v>
                </c:pt>
                <c:pt idx="2">
                  <c:v>510510.10146399995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Teaching Services</c:v>
                </c:pt>
                <c:pt idx="1">
                  <c:v>Beauty Sservices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358417.42836246418</c:v>
                </c:pt>
                <c:pt idx="1">
                  <c:v>389348.01692919823</c:v>
                </c:pt>
                <c:pt idx="2">
                  <c:v>439753.81161572237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6-4986-AC3F-165A2386E1CF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283609.82391896599</c:v>
                </c:pt>
                <c:pt idx="1">
                  <c:v>265460.71557447594</c:v>
                </c:pt>
                <c:pt idx="2">
                  <c:v>245383.24657382161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6-4986-AC3F-165A2386E1CF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74807.604443498189</c:v>
                </c:pt>
                <c:pt idx="1">
                  <c:v>123887.30135472229</c:v>
                </c:pt>
                <c:pt idx="2">
                  <c:v>194370.56504190076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F6-4986-AC3F-165A2386E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5763983"/>
        <c:axId val="2124851855"/>
      </c:barChart>
      <c:catAx>
        <c:axId val="213576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851855"/>
        <c:crosses val="autoZero"/>
        <c:auto val="1"/>
        <c:lblAlgn val="ctr"/>
        <c:lblOffset val="100"/>
        <c:noMultiLvlLbl val="0"/>
      </c:catAx>
      <c:valAx>
        <c:axId val="212485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76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894-471A-B21D-AEEDF3EA47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Editable'!$L$31:$L$36</c:f>
              <c:strCache>
                <c:ptCount val="6"/>
                <c:pt idx="0">
                  <c:v>Owner</c:v>
                </c:pt>
                <c:pt idx="1">
                  <c:v>Operations Manager</c:v>
                </c:pt>
                <c:pt idx="2">
                  <c:v>Staff Instructors</c:v>
                </c:pt>
                <c:pt idx="3">
                  <c:v>Assistants</c:v>
                </c:pt>
                <c:pt idx="4">
                  <c:v>Administrative Staff</c:v>
                </c:pt>
                <c:pt idx="5">
                  <c:v>Bookkeeper</c:v>
                </c:pt>
              </c:strCache>
            </c:strRef>
          </c:cat>
          <c:val>
            <c:numRef>
              <c:f>'Personnel - Editable'!$M$31:$M$36</c:f>
              <c:numCache>
                <c:formatCode>0.0%</c:formatCode>
                <c:ptCount val="6"/>
                <c:pt idx="0">
                  <c:v>0.24193548387096775</c:v>
                </c:pt>
                <c:pt idx="1">
                  <c:v>0.16129032258064516</c:v>
                </c:pt>
                <c:pt idx="2">
                  <c:v>0.27419354838709675</c:v>
                </c:pt>
                <c:pt idx="3">
                  <c:v>0.11290322580645161</c:v>
                </c:pt>
                <c:pt idx="4">
                  <c:v>0.12903225806451613</c:v>
                </c:pt>
                <c:pt idx="5">
                  <c:v>8.0645161290322578E-2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Teaching Services</c:v>
                </c:pt>
                <c:pt idx="1">
                  <c:v>Beauty Sservices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Equipment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140000</c:v>
                </c:pt>
                <c:pt idx="1">
                  <c:v>50000</c:v>
                </c:pt>
                <c:pt idx="2">
                  <c:v>35000</c:v>
                </c:pt>
                <c:pt idx="3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811782</c:v>
                </c:pt>
                <c:pt idx="1">
                  <c:v>974138.4</c:v>
                </c:pt>
                <c:pt idx="2">
                  <c:v>1120259.1599999999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467140.44780000002</c:v>
                </c:pt>
                <c:pt idx="1">
                  <c:v>488674.98736000003</c:v>
                </c:pt>
                <c:pt idx="2">
                  <c:v>510510.10146399995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209344.55219999998</c:v>
                </c:pt>
                <c:pt idx="1">
                  <c:v>323107.01263999997</c:v>
                </c:pt>
                <c:pt idx="2">
                  <c:v>423039.19853599998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811782</c:v>
                </c:pt>
                <c:pt idx="1">
                  <c:v>974138.4</c:v>
                </c:pt>
                <c:pt idx="2">
                  <c:v>1120259.1599999999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209344.55219999998</c:v>
                </c:pt>
                <c:pt idx="1">
                  <c:v>323107.01263999997</c:v>
                </c:pt>
                <c:pt idx="2">
                  <c:v>423039.19853599998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-1.6280016280017474E-3"/>
                  <c:y val="-8.6457268750207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467140.44780000002</c:v>
                </c:pt>
                <c:pt idx="1">
                  <c:v>488674.98736000003</c:v>
                </c:pt>
                <c:pt idx="2">
                  <c:v>510510.10146399995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132692.01481166098</c:v>
                </c:pt>
                <c:pt idx="1">
                  <c:v>213598.9897040801</c:v>
                </c:pt>
                <c:pt idx="2">
                  <c:v>284944.21229059517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19390.1760810341</c:v>
                </c:pt>
                <c:pt idx="1">
                  <c:v>21209.108344490007</c:v>
                </c:pt>
                <c:pt idx="2">
                  <c:v>23198.669000654372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92884.410368162673</c:v>
                </c:pt>
                <c:pt idx="1">
                  <c:v>149519.29279285605</c:v>
                </c:pt>
                <c:pt idx="2">
                  <c:v>199460.94860341662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132692.01481166098</c:v>
                </c:pt>
                <c:pt idx="1">
                  <c:v>213598.9897040801</c:v>
                </c:pt>
                <c:pt idx="2">
                  <c:v>284944.21229059517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226-4350-A203-4661B0E0BDF0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226-4350-A203-4661B0E0BDF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92884.410368162673</c:v>
                </c:pt>
                <c:pt idx="1">
                  <c:v>149519.29279285605</c:v>
                </c:pt>
                <c:pt idx="2">
                  <c:v>199460.94860341662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523875</xdr:colOff>
      <xdr:row>2</xdr:row>
      <xdr:rowOff>47625</xdr:rowOff>
    </xdr:from>
    <xdr:to>
      <xdr:col>21</xdr:col>
      <xdr:colOff>228599</xdr:colOff>
      <xdr:row>12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5F025D-EE46-4337-ACB2-5AB8301B8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552450</xdr:colOff>
      <xdr:row>28</xdr:row>
      <xdr:rowOff>180975</xdr:rowOff>
    </xdr:from>
    <xdr:to>
      <xdr:col>20</xdr:col>
      <xdr:colOff>333375</xdr:colOff>
      <xdr:row>39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4C28F7-7729-4B09-A0B6-121950E7C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55149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304800</xdr:colOff>
      <xdr:row>0</xdr:row>
      <xdr:rowOff>133350</xdr:rowOff>
    </xdr:from>
    <xdr:to>
      <xdr:col>22</xdr:col>
      <xdr:colOff>85725</xdr:colOff>
      <xdr:row>11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48F87-A466-4335-8746-30345B72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1333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257175</xdr:colOff>
      <xdr:row>1</xdr:row>
      <xdr:rowOff>0</xdr:rowOff>
    </xdr:from>
    <xdr:to>
      <xdr:col>26</xdr:col>
      <xdr:colOff>38100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A621AE-1F16-4760-84F6-9960EA364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190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481012</xdr:colOff>
      <xdr:row>13</xdr:row>
      <xdr:rowOff>138112</xdr:rowOff>
    </xdr:from>
    <xdr:to>
      <xdr:col>10</xdr:col>
      <xdr:colOff>523875</xdr:colOff>
      <xdr:row>28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114300</xdr:colOff>
      <xdr:row>0</xdr:row>
      <xdr:rowOff>114300</xdr:rowOff>
    </xdr:from>
    <xdr:to>
      <xdr:col>25</xdr:col>
      <xdr:colOff>504825</xdr:colOff>
      <xdr:row>11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B22A4-1552-4E8B-A704-ADD429E60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1143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447675</xdr:colOff>
      <xdr:row>2</xdr:row>
      <xdr:rowOff>133350</xdr:rowOff>
    </xdr:from>
    <xdr:to>
      <xdr:col>25</xdr:col>
      <xdr:colOff>228600</xdr:colOff>
      <xdr:row>13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ACC921-1457-4DB2-ABBB-901EF9D8D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5143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142874</xdr:colOff>
      <xdr:row>3</xdr:row>
      <xdr:rowOff>14286</xdr:rowOff>
    </xdr:from>
    <xdr:to>
      <xdr:col>19</xdr:col>
      <xdr:colOff>38099</xdr:colOff>
      <xdr:row>27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190500</xdr:colOff>
      <xdr:row>3</xdr:row>
      <xdr:rowOff>138994</xdr:rowOff>
    </xdr:from>
    <xdr:to>
      <xdr:col>5</xdr:col>
      <xdr:colOff>790575</xdr:colOff>
      <xdr:row>14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50EABB-0C38-4735-B344-63BCE69FC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710494"/>
          <a:ext cx="2667000" cy="19755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95250</xdr:colOff>
      <xdr:row>15</xdr:row>
      <xdr:rowOff>152400</xdr:rowOff>
    </xdr:from>
    <xdr:to>
      <xdr:col>12</xdr:col>
      <xdr:colOff>390525</xdr:colOff>
      <xdr:row>26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F6D333-E7CF-42FE-B2E4-FB18D39E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0099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38100</xdr:rowOff>
    </xdr:from>
    <xdr:to>
      <xdr:col>20</xdr:col>
      <xdr:colOff>228600</xdr:colOff>
      <xdr:row>26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561975</xdr:colOff>
      <xdr:row>0</xdr:row>
      <xdr:rowOff>0</xdr:rowOff>
    </xdr:from>
    <xdr:to>
      <xdr:col>26</xdr:col>
      <xdr:colOff>342900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ADC69B-8B8A-4E60-9576-47B055397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448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85725</xdr:colOff>
      <xdr:row>3</xdr:row>
      <xdr:rowOff>0</xdr:rowOff>
    </xdr:from>
    <xdr:to>
      <xdr:col>23</xdr:col>
      <xdr:colOff>476250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82BDA-5E6A-490C-B0DC-0B9D57DC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571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466725</xdr:colOff>
      <xdr:row>0</xdr:row>
      <xdr:rowOff>0</xdr:rowOff>
    </xdr:from>
    <xdr:to>
      <xdr:col>25</xdr:col>
      <xdr:colOff>247650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7BBD7-18B0-4A33-AB19-4760A2FCD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295275</xdr:colOff>
      <xdr:row>3</xdr:row>
      <xdr:rowOff>90487</xdr:rowOff>
    </xdr:from>
    <xdr:to>
      <xdr:col>14</xdr:col>
      <xdr:colOff>123825</xdr:colOff>
      <xdr:row>17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4934D5-545A-28CB-78AF-479FBC1F6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542925</xdr:colOff>
      <xdr:row>1</xdr:row>
      <xdr:rowOff>47625</xdr:rowOff>
    </xdr:from>
    <xdr:to>
      <xdr:col>24</xdr:col>
      <xdr:colOff>323850</xdr:colOff>
      <xdr:row>12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67C2DE-C403-48B4-AB8D-4B38912D5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2381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171450</xdr:colOff>
      <xdr:row>0</xdr:row>
      <xdr:rowOff>123825</xdr:rowOff>
    </xdr:from>
    <xdr:to>
      <xdr:col>23</xdr:col>
      <xdr:colOff>561975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73413-137F-4251-821F-2E07A4F7A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1238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561975</xdr:colOff>
      <xdr:row>0</xdr:row>
      <xdr:rowOff>142875</xdr:rowOff>
    </xdr:from>
    <xdr:to>
      <xdr:col>25</xdr:col>
      <xdr:colOff>342900</xdr:colOff>
      <xdr:row>11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A673FE-4A03-4C91-9A21-B680FF4CA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1428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R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4"/>
      <c r="C3" s="144"/>
      <c r="D3" s="144"/>
      <c r="E3" s="144"/>
    </row>
    <row r="4" spans="2:5">
      <c r="B4" s="145" t="s">
        <v>111</v>
      </c>
      <c r="C4" s="145" t="s">
        <v>57</v>
      </c>
      <c r="D4" s="145" t="s">
        <v>10</v>
      </c>
      <c r="E4" s="145" t="s">
        <v>8</v>
      </c>
    </row>
    <row r="5" spans="2:5">
      <c r="B5" s="66" t="s">
        <v>131</v>
      </c>
      <c r="C5" s="146">
        <v>0.05</v>
      </c>
      <c r="D5" s="146">
        <v>0.95</v>
      </c>
      <c r="E5" s="146">
        <f>C5+D5</f>
        <v>1</v>
      </c>
    </row>
    <row r="6" spans="2:5">
      <c r="B6" s="66" t="s">
        <v>134</v>
      </c>
      <c r="C6" s="146">
        <v>0.5</v>
      </c>
      <c r="D6" s="146">
        <v>0.5</v>
      </c>
      <c r="E6" s="146">
        <f t="shared" ref="E6:E12" si="0">C6+D6</f>
        <v>1</v>
      </c>
    </row>
    <row r="7" spans="2:5">
      <c r="B7" s="66" t="s">
        <v>103</v>
      </c>
      <c r="C7" s="146">
        <v>0.05</v>
      </c>
      <c r="D7" s="146">
        <v>0.95</v>
      </c>
      <c r="E7" s="146">
        <f t="shared" si="0"/>
        <v>1</v>
      </c>
    </row>
    <row r="8" spans="2:5">
      <c r="B8" s="66" t="s">
        <v>104</v>
      </c>
      <c r="C8" s="146">
        <v>0.05</v>
      </c>
      <c r="D8" s="146">
        <v>0.95</v>
      </c>
      <c r="E8" s="146">
        <f t="shared" si="0"/>
        <v>1</v>
      </c>
    </row>
    <row r="9" spans="2:5">
      <c r="B9" s="66" t="s">
        <v>105</v>
      </c>
      <c r="C9" s="146">
        <v>0.05</v>
      </c>
      <c r="D9" s="146">
        <v>0.95</v>
      </c>
      <c r="E9" s="146">
        <f t="shared" si="0"/>
        <v>1</v>
      </c>
    </row>
    <row r="10" spans="2:5">
      <c r="B10" s="66" t="s">
        <v>106</v>
      </c>
      <c r="C10" s="146">
        <v>0.05</v>
      </c>
      <c r="D10" s="146">
        <v>0.95</v>
      </c>
      <c r="E10" s="146">
        <f t="shared" si="0"/>
        <v>1</v>
      </c>
    </row>
    <row r="11" spans="2:5">
      <c r="B11" s="66" t="s">
        <v>107</v>
      </c>
      <c r="C11" s="146">
        <v>0.05</v>
      </c>
      <c r="D11" s="146">
        <v>0.95</v>
      </c>
      <c r="E11" s="146">
        <f t="shared" si="0"/>
        <v>1</v>
      </c>
    </row>
    <row r="12" spans="2:5">
      <c r="B12" s="66" t="s">
        <v>108</v>
      </c>
      <c r="C12" s="146">
        <v>0.05</v>
      </c>
      <c r="D12" s="146">
        <v>0.95</v>
      </c>
      <c r="E12" s="146">
        <f t="shared" si="0"/>
        <v>1</v>
      </c>
    </row>
    <row r="13" spans="2:5">
      <c r="B13" s="66" t="s">
        <v>109</v>
      </c>
      <c r="C13" s="146">
        <v>0.05</v>
      </c>
      <c r="D13" s="146">
        <v>0.95</v>
      </c>
      <c r="E13" s="146">
        <f t="shared" ref="E13:E14" si="1">C13+D13</f>
        <v>1</v>
      </c>
    </row>
    <row r="14" spans="2:5">
      <c r="B14" s="66" t="s">
        <v>110</v>
      </c>
      <c r="C14" s="146">
        <v>0.05</v>
      </c>
      <c r="D14" s="146">
        <v>0.95</v>
      </c>
      <c r="E14" s="146">
        <f t="shared" si="1"/>
        <v>1</v>
      </c>
    </row>
    <row r="16" spans="2:5">
      <c r="B16" s="144"/>
      <c r="C16" s="144"/>
      <c r="D16" s="144"/>
      <c r="E16" s="144"/>
    </row>
    <row r="17" spans="2:18">
      <c r="B17" s="145" t="s">
        <v>112</v>
      </c>
      <c r="C17" s="145">
        <v>1</v>
      </c>
      <c r="D17" s="145">
        <v>2</v>
      </c>
      <c r="E17" s="145">
        <v>3</v>
      </c>
    </row>
    <row r="18" spans="2:18">
      <c r="B18" s="70" t="s">
        <v>118</v>
      </c>
      <c r="C18" s="94">
        <v>75000</v>
      </c>
      <c r="D18" s="94">
        <f>C18*1.03</f>
        <v>77250</v>
      </c>
      <c r="E18" s="94">
        <f>D18*1.03</f>
        <v>79567.5</v>
      </c>
    </row>
    <row r="19" spans="2:18">
      <c r="B19" s="70" t="s">
        <v>50</v>
      </c>
      <c r="C19" s="94">
        <f>'Profit and Loss Statement'!E6*0.0157</f>
        <v>12744.9774</v>
      </c>
      <c r="D19" s="94">
        <f>'Profit and Loss Statement'!F6*0.0157</f>
        <v>15293.972879999999</v>
      </c>
      <c r="E19" s="94">
        <f>'Profit and Loss Statement'!G6*0.0157</f>
        <v>17588.068811999998</v>
      </c>
    </row>
    <row r="20" spans="2:18">
      <c r="B20" s="70" t="s">
        <v>120</v>
      </c>
      <c r="C20" s="94">
        <f>'Profit and Loss Statement'!E6*0.0152</f>
        <v>12339.0864</v>
      </c>
      <c r="D20" s="94">
        <f>'Profit and Loss Statement'!F6*0.0152</f>
        <v>14806.903679999999</v>
      </c>
      <c r="E20" s="94">
        <f>'Profit and Loss Statement'!G6*0.0152</f>
        <v>17027.939231999997</v>
      </c>
    </row>
    <row r="21" spans="2:18">
      <c r="B21" s="70" t="s">
        <v>49</v>
      </c>
      <c r="C21" s="94">
        <f>'Personnel - Editable'!H16*0.06</f>
        <v>18600</v>
      </c>
      <c r="D21" s="94">
        <f>'Personnel - Editable'!I16*0.06</f>
        <v>19158</v>
      </c>
      <c r="E21" s="94">
        <f>'Personnel - Editable'!J16*0.06</f>
        <v>19732.739999999998</v>
      </c>
      <c r="F21" s="119"/>
      <c r="G21" s="119"/>
    </row>
    <row r="22" spans="2:18">
      <c r="B22" s="70" t="s">
        <v>119</v>
      </c>
      <c r="C22" s="94">
        <f>'Profit and Loss Statement'!E6*0.012</f>
        <v>9741.384</v>
      </c>
      <c r="D22" s="94">
        <f>'Profit and Loss Statement'!F6*0.012</f>
        <v>11689.6608</v>
      </c>
      <c r="E22" s="94">
        <f>'Profit and Loss Statement'!G6*0.012</f>
        <v>13443.109919999999</v>
      </c>
      <c r="F22" s="1"/>
      <c r="G22" s="1"/>
    </row>
    <row r="23" spans="2:18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8">
      <c r="F24" s="1"/>
      <c r="G24" s="1"/>
    </row>
    <row r="25" spans="2:18">
      <c r="F25" s="1"/>
      <c r="G25" s="1"/>
    </row>
    <row r="30" spans="2:18">
      <c r="B30" s="147" t="s">
        <v>113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2:18">
      <c r="B31" s="149" t="s">
        <v>5</v>
      </c>
      <c r="C31" s="150">
        <v>1</v>
      </c>
      <c r="D31" s="150">
        <f>C31+1</f>
        <v>2</v>
      </c>
      <c r="E31" s="150">
        <f t="shared" ref="E31:N31" si="2">D31+1</f>
        <v>3</v>
      </c>
      <c r="F31" s="150">
        <f t="shared" si="2"/>
        <v>4</v>
      </c>
      <c r="G31" s="150">
        <f t="shared" si="2"/>
        <v>5</v>
      </c>
      <c r="H31" s="150">
        <f t="shared" si="2"/>
        <v>6</v>
      </c>
      <c r="I31" s="150">
        <f t="shared" si="2"/>
        <v>7</v>
      </c>
      <c r="J31" s="150">
        <f t="shared" si="2"/>
        <v>8</v>
      </c>
      <c r="K31" s="150">
        <f t="shared" si="2"/>
        <v>9</v>
      </c>
      <c r="L31" s="150">
        <f t="shared" si="2"/>
        <v>10</v>
      </c>
      <c r="M31" s="150">
        <f t="shared" si="2"/>
        <v>11</v>
      </c>
      <c r="N31" s="150">
        <f t="shared" si="2"/>
        <v>12</v>
      </c>
    </row>
    <row r="32" spans="2:18">
      <c r="B32" s="66" t="str">
        <f t="shared" ref="B32:B41" si="3">B5</f>
        <v>Teaching Services</v>
      </c>
      <c r="C32" s="94">
        <v>50000</v>
      </c>
      <c r="D32" s="94">
        <f>C32+20</f>
        <v>50020</v>
      </c>
      <c r="E32" s="94">
        <f t="shared" ref="E32:N32" si="4">D32+20</f>
        <v>50040</v>
      </c>
      <c r="F32" s="94">
        <f t="shared" si="4"/>
        <v>50060</v>
      </c>
      <c r="G32" s="94">
        <f t="shared" si="4"/>
        <v>50080</v>
      </c>
      <c r="H32" s="94">
        <f t="shared" si="4"/>
        <v>50100</v>
      </c>
      <c r="I32" s="94">
        <f t="shared" si="4"/>
        <v>50120</v>
      </c>
      <c r="J32" s="94">
        <f t="shared" si="4"/>
        <v>50140</v>
      </c>
      <c r="K32" s="94">
        <f t="shared" si="4"/>
        <v>50160</v>
      </c>
      <c r="L32" s="94">
        <f t="shared" si="4"/>
        <v>50180</v>
      </c>
      <c r="M32" s="94">
        <f t="shared" si="4"/>
        <v>50200</v>
      </c>
      <c r="N32" s="94">
        <f t="shared" si="4"/>
        <v>50220</v>
      </c>
      <c r="R32" s="112" t="s">
        <v>135</v>
      </c>
    </row>
    <row r="33" spans="2:17">
      <c r="B33" s="66" t="str">
        <f t="shared" si="3"/>
        <v>Beauty Sservices</v>
      </c>
      <c r="C33" s="94">
        <f>C32*0.35</f>
        <v>17500</v>
      </c>
      <c r="D33" s="94">
        <f t="shared" ref="D33:N33" si="5">D32*0.35</f>
        <v>17507</v>
      </c>
      <c r="E33" s="94">
        <f t="shared" si="5"/>
        <v>17514</v>
      </c>
      <c r="F33" s="94">
        <f t="shared" si="5"/>
        <v>17521</v>
      </c>
      <c r="G33" s="94">
        <f t="shared" si="5"/>
        <v>17528</v>
      </c>
      <c r="H33" s="94">
        <f t="shared" si="5"/>
        <v>17535</v>
      </c>
      <c r="I33" s="94">
        <f t="shared" si="5"/>
        <v>17542</v>
      </c>
      <c r="J33" s="94">
        <f t="shared" si="5"/>
        <v>17549</v>
      </c>
      <c r="K33" s="94">
        <f t="shared" si="5"/>
        <v>17556</v>
      </c>
      <c r="L33" s="94">
        <f t="shared" si="5"/>
        <v>17563</v>
      </c>
      <c r="M33" s="94">
        <f t="shared" si="5"/>
        <v>17570</v>
      </c>
      <c r="N33" s="94">
        <f t="shared" si="5"/>
        <v>17577</v>
      </c>
    </row>
    <row r="34" spans="2:17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7">
      <c r="B42" s="151" t="s">
        <v>8</v>
      </c>
      <c r="C42" s="152">
        <f>SUM(C32:C41)</f>
        <v>67500</v>
      </c>
      <c r="D42" s="152">
        <f t="shared" ref="D42:N42" si="6">SUM(D32:D41)</f>
        <v>67527</v>
      </c>
      <c r="E42" s="152">
        <f t="shared" si="6"/>
        <v>67554</v>
      </c>
      <c r="F42" s="152">
        <f t="shared" si="6"/>
        <v>67581</v>
      </c>
      <c r="G42" s="152">
        <f t="shared" si="6"/>
        <v>67608</v>
      </c>
      <c r="H42" s="152">
        <f t="shared" si="6"/>
        <v>67635</v>
      </c>
      <c r="I42" s="152">
        <f t="shared" si="6"/>
        <v>67662</v>
      </c>
      <c r="J42" s="152">
        <f t="shared" si="6"/>
        <v>67689</v>
      </c>
      <c r="K42" s="152">
        <f t="shared" si="6"/>
        <v>67716</v>
      </c>
      <c r="L42" s="152">
        <f t="shared" si="6"/>
        <v>67743</v>
      </c>
      <c r="M42" s="152">
        <f t="shared" si="6"/>
        <v>67770</v>
      </c>
      <c r="N42" s="152">
        <f t="shared" si="6"/>
        <v>67797</v>
      </c>
      <c r="Q42" t="s">
        <v>139</v>
      </c>
    </row>
    <row r="44" spans="2:17">
      <c r="B44" s="144"/>
      <c r="C44" s="144"/>
    </row>
    <row r="45" spans="2:17">
      <c r="B45" s="145" t="s">
        <v>126</v>
      </c>
      <c r="C45" s="145"/>
    </row>
    <row r="46" spans="2:17">
      <c r="B46" s="66" t="s">
        <v>3</v>
      </c>
      <c r="C46" s="143">
        <v>0.2</v>
      </c>
    </row>
    <row r="47" spans="2:17">
      <c r="B47" s="66" t="s">
        <v>4</v>
      </c>
      <c r="C47" s="143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Teaching Services</v>
      </c>
      <c r="C51" s="114">
        <f t="shared" ref="C51:N51" si="9">C32*($C$5/$E$5)</f>
        <v>2500</v>
      </c>
      <c r="D51" s="114">
        <f t="shared" si="9"/>
        <v>2501</v>
      </c>
      <c r="E51" s="114">
        <f t="shared" si="9"/>
        <v>2502</v>
      </c>
      <c r="F51" s="114">
        <f t="shared" si="9"/>
        <v>2503</v>
      </c>
      <c r="G51" s="114">
        <f t="shared" si="9"/>
        <v>2504</v>
      </c>
      <c r="H51" s="114">
        <f t="shared" si="9"/>
        <v>2505</v>
      </c>
      <c r="I51" s="114">
        <f t="shared" si="9"/>
        <v>2506</v>
      </c>
      <c r="J51" s="114">
        <f t="shared" si="9"/>
        <v>2507</v>
      </c>
      <c r="K51" s="114">
        <f t="shared" si="9"/>
        <v>2508</v>
      </c>
      <c r="L51" s="114">
        <f t="shared" si="9"/>
        <v>2509</v>
      </c>
      <c r="M51" s="114">
        <f t="shared" si="9"/>
        <v>2510</v>
      </c>
      <c r="N51" s="114">
        <f t="shared" si="9"/>
        <v>2511</v>
      </c>
    </row>
    <row r="52" spans="2:14">
      <c r="B52" s="112" t="str">
        <f t="shared" si="8"/>
        <v>Beauty Sservices</v>
      </c>
      <c r="C52" s="114">
        <f t="shared" ref="C52:N52" si="10">C33*($C$6/$E$6)</f>
        <v>8750</v>
      </c>
      <c r="D52" s="114">
        <f t="shared" si="10"/>
        <v>8753.5</v>
      </c>
      <c r="E52" s="114">
        <f t="shared" si="10"/>
        <v>8757</v>
      </c>
      <c r="F52" s="114">
        <f t="shared" si="10"/>
        <v>8760.5</v>
      </c>
      <c r="G52" s="114">
        <f t="shared" si="10"/>
        <v>8764</v>
      </c>
      <c r="H52" s="114">
        <f t="shared" si="10"/>
        <v>8767.5</v>
      </c>
      <c r="I52" s="114">
        <f t="shared" si="10"/>
        <v>8771</v>
      </c>
      <c r="J52" s="114">
        <f t="shared" si="10"/>
        <v>8774.5</v>
      </c>
      <c r="K52" s="114">
        <f t="shared" si="10"/>
        <v>8778</v>
      </c>
      <c r="L52" s="114">
        <f t="shared" si="10"/>
        <v>8781.5</v>
      </c>
      <c r="M52" s="114">
        <f t="shared" si="10"/>
        <v>8785</v>
      </c>
      <c r="N52" s="114">
        <f t="shared" si="10"/>
        <v>8788.5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11250</v>
      </c>
      <c r="D61" s="114">
        <f t="shared" ref="D61:N61" si="19">SUM(D51:D60)</f>
        <v>11254.5</v>
      </c>
      <c r="E61" s="114">
        <f t="shared" si="19"/>
        <v>11259</v>
      </c>
      <c r="F61" s="114">
        <f t="shared" si="19"/>
        <v>11263.5</v>
      </c>
      <c r="G61" s="114">
        <f t="shared" si="19"/>
        <v>11268</v>
      </c>
      <c r="H61" s="114">
        <f t="shared" si="19"/>
        <v>11272.5</v>
      </c>
      <c r="I61" s="114">
        <f t="shared" si="19"/>
        <v>11277</v>
      </c>
      <c r="J61" s="114">
        <f t="shared" si="19"/>
        <v>11281.5</v>
      </c>
      <c r="K61" s="114">
        <f t="shared" si="19"/>
        <v>11286</v>
      </c>
      <c r="L61" s="114">
        <f t="shared" si="19"/>
        <v>11290.5</v>
      </c>
      <c r="M61" s="114">
        <f t="shared" si="19"/>
        <v>11295</v>
      </c>
      <c r="N61" s="114">
        <f t="shared" si="19"/>
        <v>11299.5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56250</v>
      </c>
      <c r="D66" s="114">
        <f t="shared" si="21"/>
        <v>56272.5</v>
      </c>
      <c r="E66" s="114">
        <f t="shared" si="21"/>
        <v>56295</v>
      </c>
      <c r="F66" s="114">
        <f t="shared" si="21"/>
        <v>56317.5</v>
      </c>
      <c r="G66" s="114">
        <f t="shared" si="21"/>
        <v>56340</v>
      </c>
      <c r="H66" s="114">
        <f t="shared" si="21"/>
        <v>56362.5</v>
      </c>
      <c r="I66" s="114">
        <f t="shared" si="21"/>
        <v>56385</v>
      </c>
      <c r="J66" s="114">
        <f t="shared" si="21"/>
        <v>56407.5</v>
      </c>
      <c r="K66" s="114">
        <f t="shared" si="21"/>
        <v>56430</v>
      </c>
      <c r="L66" s="114">
        <f t="shared" si="21"/>
        <v>56452.5</v>
      </c>
      <c r="M66" s="114">
        <f t="shared" si="21"/>
        <v>56475</v>
      </c>
      <c r="N66" s="114">
        <f t="shared" si="21"/>
        <v>56497.5</v>
      </c>
    </row>
  </sheetData>
  <sheetProtection algorithmName="SHA-512" hashValue="rYhiD2YtSZHr3qPz41usLBeN+Atf5RQcALTTEzToqSdukBVsfII+M0XgPGeTIDcBRfaVlzQ0Z/cWMIGxLp1K3w==" saltValue="Y4uosK8YjKQAFYCsy88qMA==" spinCount="100000" sheet="1" objects="1" scenarios="1" selectLockedCells="1"/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M471"/>
  <sheetViews>
    <sheetView showGridLines="0" workbookViewId="0">
      <selection activeCell="R5" sqref="R5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13">
      <c r="A4" s="53" t="s">
        <v>34</v>
      </c>
      <c r="B4" s="54"/>
      <c r="C4" s="55"/>
      <c r="D4" s="56" t="s">
        <v>35</v>
      </c>
      <c r="E4" s="55"/>
    </row>
    <row r="5" spans="1:13">
      <c r="A5" s="57" t="s">
        <v>37</v>
      </c>
      <c r="B5" s="58">
        <f>'Use of Funds'!E22</f>
        <v>300000</v>
      </c>
      <c r="C5" s="55"/>
      <c r="D5" s="56" t="s">
        <v>36</v>
      </c>
      <c r="E5" s="59">
        <f>PMT(B6/B8,(B7*B8),-B5)</f>
        <v>3800.2732125074845</v>
      </c>
      <c r="M5" s="112" t="s">
        <v>135</v>
      </c>
    </row>
    <row r="6" spans="1:13">
      <c r="A6" s="60" t="s">
        <v>39</v>
      </c>
      <c r="B6" s="54">
        <v>0.09</v>
      </c>
      <c r="C6" s="55"/>
      <c r="D6" s="56" t="s">
        <v>38</v>
      </c>
      <c r="E6" s="59">
        <f>SUM(D14:D600)</f>
        <v>156032.78550089832</v>
      </c>
    </row>
    <row r="7" spans="1:13">
      <c r="A7" s="60" t="s">
        <v>40</v>
      </c>
      <c r="B7" s="60">
        <v>10</v>
      </c>
      <c r="C7" s="55"/>
      <c r="D7" s="55"/>
      <c r="E7" s="55"/>
    </row>
    <row r="8" spans="1:13">
      <c r="A8" s="53" t="s">
        <v>41</v>
      </c>
      <c r="B8" s="53">
        <v>12</v>
      </c>
      <c r="C8" s="55"/>
      <c r="D8" s="55"/>
      <c r="E8" s="55"/>
    </row>
    <row r="9" spans="1:13">
      <c r="A9" s="55"/>
      <c r="B9" s="55"/>
      <c r="C9" s="55"/>
      <c r="D9" s="55"/>
      <c r="E9" s="55"/>
    </row>
    <row r="13" spans="1:13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13">
      <c r="A14">
        <v>1</v>
      </c>
      <c r="B14" s="1">
        <f>$E$5</f>
        <v>3800.2732125074845</v>
      </c>
      <c r="C14" s="1">
        <f>B14-D14</f>
        <v>1550.2732125074845</v>
      </c>
      <c r="D14" s="1">
        <f>(B5*($B$6/$B$8))</f>
        <v>2250</v>
      </c>
      <c r="E14" s="1">
        <f>B5-C14</f>
        <v>298449.72678749252</v>
      </c>
    </row>
    <row r="15" spans="1:13">
      <c r="A15">
        <f>IF(($B$7*$B$8&gt;A14),IF(($B$7*$B$8)=A14,"",A14+1),"")</f>
        <v>2</v>
      </c>
      <c r="B15" s="1">
        <f>IF(A15="","",$B$14)</f>
        <v>3800.2732125074845</v>
      </c>
      <c r="C15" s="1">
        <f>IF(A15="","",B15-D15)</f>
        <v>1561.9002616012908</v>
      </c>
      <c r="D15" s="1">
        <f>IF(A15="","",(E14*($B$6/$B$8)))</f>
        <v>2238.3729509061936</v>
      </c>
      <c r="E15" s="1">
        <f>IF(A15="","",E14-C15)</f>
        <v>296887.8265258912</v>
      </c>
    </row>
    <row r="16" spans="1:13">
      <c r="A16">
        <f t="shared" ref="A16:A79" si="0">IF(($B$7*$B$8&gt;A15),IF(($B$7*$B$8)=A15,"",A15+1),"")</f>
        <v>3</v>
      </c>
      <c r="B16" s="1">
        <f t="shared" ref="B16:B79" si="1">IF(A16="","",$B$14)</f>
        <v>3800.2732125074845</v>
      </c>
      <c r="C16" s="1">
        <f t="shared" ref="C16:C79" si="2">IF(A16="","",B16-D16)</f>
        <v>1573.6145135633005</v>
      </c>
      <c r="D16" s="1">
        <f t="shared" ref="D16:D79" si="3">IF(A16="","",(E15*($B$6/$B$8)))</f>
        <v>2226.6586989441839</v>
      </c>
      <c r="E16" s="1">
        <f t="shared" ref="E16:E79" si="4">IF(A16="","",E15-C16)</f>
        <v>295314.21201232792</v>
      </c>
    </row>
    <row r="17" spans="1:5">
      <c r="A17">
        <f t="shared" si="0"/>
        <v>4</v>
      </c>
      <c r="B17" s="1">
        <f t="shared" si="1"/>
        <v>3800.2732125074845</v>
      </c>
      <c r="C17" s="1">
        <f t="shared" si="2"/>
        <v>1585.4166224150254</v>
      </c>
      <c r="D17" s="1">
        <f t="shared" si="3"/>
        <v>2214.8565900924591</v>
      </c>
      <c r="E17" s="1">
        <f t="shared" si="4"/>
        <v>293728.79538991291</v>
      </c>
    </row>
    <row r="18" spans="1:5">
      <c r="A18">
        <f t="shared" si="0"/>
        <v>5</v>
      </c>
      <c r="B18" s="1">
        <f t="shared" si="1"/>
        <v>3800.2732125074845</v>
      </c>
      <c r="C18" s="1">
        <f t="shared" si="2"/>
        <v>1597.3072470831376</v>
      </c>
      <c r="D18" s="1">
        <f t="shared" si="3"/>
        <v>2202.9659654243469</v>
      </c>
      <c r="E18" s="1">
        <f t="shared" si="4"/>
        <v>292131.4881428298</v>
      </c>
    </row>
    <row r="19" spans="1:5">
      <c r="A19">
        <f t="shared" si="0"/>
        <v>6</v>
      </c>
      <c r="B19" s="1">
        <f t="shared" si="1"/>
        <v>3800.2732125074845</v>
      </c>
      <c r="C19" s="1">
        <f t="shared" si="2"/>
        <v>1609.2870514362612</v>
      </c>
      <c r="D19" s="1">
        <f t="shared" si="3"/>
        <v>2190.9861610712233</v>
      </c>
      <c r="E19" s="1">
        <f t="shared" si="4"/>
        <v>290522.20109139354</v>
      </c>
    </row>
    <row r="20" spans="1:5">
      <c r="A20">
        <f t="shared" si="0"/>
        <v>7</v>
      </c>
      <c r="B20" s="1">
        <f t="shared" si="1"/>
        <v>3800.2732125074845</v>
      </c>
      <c r="C20" s="1">
        <f t="shared" si="2"/>
        <v>1621.3567043220328</v>
      </c>
      <c r="D20" s="1">
        <f t="shared" si="3"/>
        <v>2178.9165081854517</v>
      </c>
      <c r="E20" s="1">
        <f t="shared" si="4"/>
        <v>288900.8443870715</v>
      </c>
    </row>
    <row r="21" spans="1:5">
      <c r="A21">
        <f t="shared" si="0"/>
        <v>8</v>
      </c>
      <c r="B21" s="1">
        <f t="shared" si="1"/>
        <v>3800.2732125074845</v>
      </c>
      <c r="C21" s="1">
        <f t="shared" si="2"/>
        <v>1633.5168796044481</v>
      </c>
      <c r="D21" s="1">
        <f t="shared" si="3"/>
        <v>2166.7563329030363</v>
      </c>
      <c r="E21" s="1">
        <f t="shared" si="4"/>
        <v>287267.32750746707</v>
      </c>
    </row>
    <row r="22" spans="1:5">
      <c r="A22">
        <f t="shared" si="0"/>
        <v>9</v>
      </c>
      <c r="B22" s="1">
        <f t="shared" si="1"/>
        <v>3800.2732125074845</v>
      </c>
      <c r="C22" s="1">
        <f t="shared" si="2"/>
        <v>1645.7682562014816</v>
      </c>
      <c r="D22" s="1">
        <f t="shared" si="3"/>
        <v>2154.5049563060029</v>
      </c>
      <c r="E22" s="1">
        <f t="shared" si="4"/>
        <v>285621.5592512656</v>
      </c>
    </row>
    <row r="23" spans="1:5">
      <c r="A23">
        <f t="shared" si="0"/>
        <v>10</v>
      </c>
      <c r="B23" s="1">
        <f t="shared" si="1"/>
        <v>3800.2732125074845</v>
      </c>
      <c r="C23" s="1">
        <f t="shared" si="2"/>
        <v>1658.1115181229925</v>
      </c>
      <c r="D23" s="1">
        <f t="shared" si="3"/>
        <v>2142.161694384492</v>
      </c>
      <c r="E23" s="1">
        <f t="shared" si="4"/>
        <v>283963.44773314259</v>
      </c>
    </row>
    <row r="24" spans="1:5">
      <c r="A24">
        <f t="shared" si="0"/>
        <v>11</v>
      </c>
      <c r="B24" s="1">
        <f t="shared" si="1"/>
        <v>3800.2732125074845</v>
      </c>
      <c r="C24" s="1">
        <f t="shared" si="2"/>
        <v>1670.5473545089153</v>
      </c>
      <c r="D24" s="1">
        <f t="shared" si="3"/>
        <v>2129.7258579985692</v>
      </c>
      <c r="E24" s="1">
        <f t="shared" si="4"/>
        <v>282292.9003786337</v>
      </c>
    </row>
    <row r="25" spans="1:5">
      <c r="A25">
        <f t="shared" si="0"/>
        <v>12</v>
      </c>
      <c r="B25" s="1">
        <f t="shared" si="1"/>
        <v>3800.2732125074845</v>
      </c>
      <c r="C25" s="1">
        <f t="shared" si="2"/>
        <v>1683.0764596677318</v>
      </c>
      <c r="D25" s="1">
        <f t="shared" si="3"/>
        <v>2117.1967528397527</v>
      </c>
      <c r="E25" s="1">
        <f t="shared" si="4"/>
        <v>280609.82391896599</v>
      </c>
    </row>
    <row r="26" spans="1:5">
      <c r="A26">
        <f t="shared" si="0"/>
        <v>13</v>
      </c>
      <c r="B26" s="1">
        <f t="shared" si="1"/>
        <v>3800.2732125074845</v>
      </c>
      <c r="C26" s="1">
        <f t="shared" si="2"/>
        <v>1695.6995331152398</v>
      </c>
      <c r="D26" s="1">
        <f t="shared" si="3"/>
        <v>2104.5736793922447</v>
      </c>
      <c r="E26" s="1">
        <f t="shared" si="4"/>
        <v>278914.12438585074</v>
      </c>
    </row>
    <row r="27" spans="1:5">
      <c r="A27">
        <f t="shared" si="0"/>
        <v>14</v>
      </c>
      <c r="B27" s="1">
        <f t="shared" si="1"/>
        <v>3800.2732125074845</v>
      </c>
      <c r="C27" s="1">
        <f t="shared" si="2"/>
        <v>1708.417279613604</v>
      </c>
      <c r="D27" s="1">
        <f t="shared" si="3"/>
        <v>2091.8559328938804</v>
      </c>
      <c r="E27" s="1">
        <f t="shared" si="4"/>
        <v>277205.70710623713</v>
      </c>
    </row>
    <row r="28" spans="1:5">
      <c r="A28">
        <f t="shared" si="0"/>
        <v>15</v>
      </c>
      <c r="B28" s="1">
        <f t="shared" si="1"/>
        <v>3800.2732125074845</v>
      </c>
      <c r="C28" s="1">
        <f t="shared" si="2"/>
        <v>1721.2304092107061</v>
      </c>
      <c r="D28" s="1">
        <f t="shared" si="3"/>
        <v>2079.0428032967784</v>
      </c>
      <c r="E28" s="1">
        <f t="shared" si="4"/>
        <v>275484.4766970264</v>
      </c>
    </row>
    <row r="29" spans="1:5">
      <c r="A29">
        <f t="shared" si="0"/>
        <v>16</v>
      </c>
      <c r="B29" s="1">
        <f t="shared" si="1"/>
        <v>3800.2732125074845</v>
      </c>
      <c r="C29" s="1">
        <f t="shared" si="2"/>
        <v>1734.1396372797867</v>
      </c>
      <c r="D29" s="1">
        <f t="shared" si="3"/>
        <v>2066.1335752276977</v>
      </c>
      <c r="E29" s="1">
        <f t="shared" si="4"/>
        <v>273750.33705974661</v>
      </c>
    </row>
    <row r="30" spans="1:5">
      <c r="A30">
        <f t="shared" si="0"/>
        <v>17</v>
      </c>
      <c r="B30" s="1">
        <f t="shared" si="1"/>
        <v>3800.2732125074845</v>
      </c>
      <c r="C30" s="1">
        <f t="shared" si="2"/>
        <v>1747.1456845593848</v>
      </c>
      <c r="D30" s="1">
        <f t="shared" si="3"/>
        <v>2053.1275279480997</v>
      </c>
      <c r="E30" s="1">
        <f t="shared" si="4"/>
        <v>272003.19137518725</v>
      </c>
    </row>
    <row r="31" spans="1:5">
      <c r="A31">
        <f t="shared" si="0"/>
        <v>18</v>
      </c>
      <c r="B31" s="1">
        <f t="shared" si="1"/>
        <v>3800.2732125074845</v>
      </c>
      <c r="C31" s="1">
        <f t="shared" si="2"/>
        <v>1760.2492771935802</v>
      </c>
      <c r="D31" s="1">
        <f t="shared" si="3"/>
        <v>2040.0239353139043</v>
      </c>
      <c r="E31" s="1">
        <f t="shared" si="4"/>
        <v>270242.94209799368</v>
      </c>
    </row>
    <row r="32" spans="1:5">
      <c r="A32">
        <f t="shared" si="0"/>
        <v>19</v>
      </c>
      <c r="B32" s="1">
        <f t="shared" si="1"/>
        <v>3800.2732125074845</v>
      </c>
      <c r="C32" s="1">
        <f t="shared" si="2"/>
        <v>1773.451146772532</v>
      </c>
      <c r="D32" s="1">
        <f t="shared" si="3"/>
        <v>2026.8220657349525</v>
      </c>
      <c r="E32" s="1">
        <f t="shared" si="4"/>
        <v>268469.49095122115</v>
      </c>
    </row>
    <row r="33" spans="1:5">
      <c r="A33">
        <f t="shared" si="0"/>
        <v>20</v>
      </c>
      <c r="B33" s="1">
        <f t="shared" si="1"/>
        <v>3800.2732125074845</v>
      </c>
      <c r="C33" s="1">
        <f t="shared" si="2"/>
        <v>1786.7520303733259</v>
      </c>
      <c r="D33" s="1">
        <f t="shared" si="3"/>
        <v>2013.5211821341586</v>
      </c>
      <c r="E33" s="1">
        <f t="shared" si="4"/>
        <v>266682.73892084783</v>
      </c>
    </row>
    <row r="34" spans="1:5">
      <c r="A34">
        <f t="shared" si="0"/>
        <v>21</v>
      </c>
      <c r="B34" s="1">
        <f t="shared" si="1"/>
        <v>3800.2732125074845</v>
      </c>
      <c r="C34" s="1">
        <f t="shared" si="2"/>
        <v>1800.1526706011259</v>
      </c>
      <c r="D34" s="1">
        <f t="shared" si="3"/>
        <v>2000.1205419063585</v>
      </c>
      <c r="E34" s="1">
        <f t="shared" si="4"/>
        <v>264882.58625024668</v>
      </c>
    </row>
    <row r="35" spans="1:5">
      <c r="A35">
        <f t="shared" si="0"/>
        <v>22</v>
      </c>
      <c r="B35" s="1">
        <f t="shared" si="1"/>
        <v>3800.2732125074845</v>
      </c>
      <c r="C35" s="1">
        <f t="shared" si="2"/>
        <v>1813.6538156306344</v>
      </c>
      <c r="D35" s="1">
        <f t="shared" si="3"/>
        <v>1986.61939687685</v>
      </c>
      <c r="E35" s="1">
        <f t="shared" si="4"/>
        <v>263068.93243461603</v>
      </c>
    </row>
    <row r="36" spans="1:5">
      <c r="A36">
        <f t="shared" si="0"/>
        <v>23</v>
      </c>
      <c r="B36" s="1">
        <f t="shared" si="1"/>
        <v>3800.2732125074845</v>
      </c>
      <c r="C36" s="1">
        <f t="shared" si="2"/>
        <v>1827.2562192478642</v>
      </c>
      <c r="D36" s="1">
        <f t="shared" si="3"/>
        <v>1973.0169932596202</v>
      </c>
      <c r="E36" s="1">
        <f t="shared" si="4"/>
        <v>261241.67621536818</v>
      </c>
    </row>
    <row r="37" spans="1:5">
      <c r="A37">
        <f t="shared" si="0"/>
        <v>24</v>
      </c>
      <c r="B37" s="1">
        <f t="shared" si="1"/>
        <v>3800.2732125074845</v>
      </c>
      <c r="C37" s="1">
        <f t="shared" si="2"/>
        <v>1840.9606408922232</v>
      </c>
      <c r="D37" s="1">
        <f t="shared" si="3"/>
        <v>1959.3125716152613</v>
      </c>
      <c r="E37" s="1">
        <f t="shared" si="4"/>
        <v>259400.71557447597</v>
      </c>
    </row>
    <row r="38" spans="1:5">
      <c r="A38">
        <f t="shared" si="0"/>
        <v>25</v>
      </c>
      <c r="B38" s="1">
        <f t="shared" si="1"/>
        <v>3800.2732125074845</v>
      </c>
      <c r="C38" s="1">
        <f t="shared" si="2"/>
        <v>1854.7678456989147</v>
      </c>
      <c r="D38" s="1">
        <f t="shared" si="3"/>
        <v>1945.5053668085698</v>
      </c>
      <c r="E38" s="1">
        <f t="shared" si="4"/>
        <v>257545.94772877704</v>
      </c>
    </row>
    <row r="39" spans="1:5">
      <c r="A39">
        <f t="shared" si="0"/>
        <v>26</v>
      </c>
      <c r="B39" s="1">
        <f t="shared" si="1"/>
        <v>3800.2732125074845</v>
      </c>
      <c r="C39" s="1">
        <f t="shared" si="2"/>
        <v>1868.6786045416568</v>
      </c>
      <c r="D39" s="1">
        <f t="shared" si="3"/>
        <v>1931.5946079658277</v>
      </c>
      <c r="E39" s="1">
        <f t="shared" si="4"/>
        <v>255677.26912423538</v>
      </c>
    </row>
    <row r="40" spans="1:5">
      <c r="A40">
        <f t="shared" si="0"/>
        <v>27</v>
      </c>
      <c r="B40" s="1">
        <f t="shared" si="1"/>
        <v>3800.2732125074845</v>
      </c>
      <c r="C40" s="1">
        <f t="shared" si="2"/>
        <v>1882.6936940757191</v>
      </c>
      <c r="D40" s="1">
        <f t="shared" si="3"/>
        <v>1917.5795184317653</v>
      </c>
      <c r="E40" s="1">
        <f t="shared" si="4"/>
        <v>253794.57543015966</v>
      </c>
    </row>
    <row r="41" spans="1:5">
      <c r="A41">
        <f t="shared" si="0"/>
        <v>28</v>
      </c>
      <c r="B41" s="1">
        <f t="shared" si="1"/>
        <v>3800.2732125074845</v>
      </c>
      <c r="C41" s="1">
        <f t="shared" si="2"/>
        <v>1896.813896781287</v>
      </c>
      <c r="D41" s="1">
        <f t="shared" si="3"/>
        <v>1903.4593157261975</v>
      </c>
      <c r="E41" s="1">
        <f t="shared" si="4"/>
        <v>251897.76153337836</v>
      </c>
    </row>
    <row r="42" spans="1:5">
      <c r="A42">
        <f t="shared" si="0"/>
        <v>29</v>
      </c>
      <c r="B42" s="1">
        <f t="shared" si="1"/>
        <v>3800.2732125074845</v>
      </c>
      <c r="C42" s="1">
        <f t="shared" si="2"/>
        <v>1911.0400010071469</v>
      </c>
      <c r="D42" s="1">
        <f t="shared" si="3"/>
        <v>1889.2332115003376</v>
      </c>
      <c r="E42" s="1">
        <f t="shared" si="4"/>
        <v>249986.72153237122</v>
      </c>
    </row>
    <row r="43" spans="1:5">
      <c r="A43">
        <f t="shared" si="0"/>
        <v>30</v>
      </c>
      <c r="B43" s="1">
        <f t="shared" si="1"/>
        <v>3800.2732125074845</v>
      </c>
      <c r="C43" s="1">
        <f t="shared" si="2"/>
        <v>1925.3728010147004</v>
      </c>
      <c r="D43" s="1">
        <f t="shared" si="3"/>
        <v>1874.9004114927841</v>
      </c>
      <c r="E43" s="1">
        <f t="shared" si="4"/>
        <v>248061.34873135653</v>
      </c>
    </row>
    <row r="44" spans="1:5">
      <c r="A44">
        <f t="shared" si="0"/>
        <v>31</v>
      </c>
      <c r="B44" s="1">
        <f t="shared" si="1"/>
        <v>3800.2732125074845</v>
      </c>
      <c r="C44" s="1">
        <f t="shared" si="2"/>
        <v>1939.8130970223106</v>
      </c>
      <c r="D44" s="1">
        <f t="shared" si="3"/>
        <v>1860.4601154851739</v>
      </c>
      <c r="E44" s="1">
        <f t="shared" si="4"/>
        <v>246121.53563433423</v>
      </c>
    </row>
    <row r="45" spans="1:5">
      <c r="A45">
        <f t="shared" si="0"/>
        <v>32</v>
      </c>
      <c r="B45" s="1">
        <f t="shared" si="1"/>
        <v>3800.2732125074845</v>
      </c>
      <c r="C45" s="1">
        <f t="shared" si="2"/>
        <v>1954.3616952499779</v>
      </c>
      <c r="D45" s="1">
        <f t="shared" si="3"/>
        <v>1845.9115172575066</v>
      </c>
      <c r="E45" s="1">
        <f t="shared" si="4"/>
        <v>244167.17393908426</v>
      </c>
    </row>
    <row r="46" spans="1:5">
      <c r="A46">
        <f t="shared" si="0"/>
        <v>33</v>
      </c>
      <c r="B46" s="1">
        <f t="shared" si="1"/>
        <v>3800.2732125074845</v>
      </c>
      <c r="C46" s="1">
        <f t="shared" si="2"/>
        <v>1969.0194079643527</v>
      </c>
      <c r="D46" s="1">
        <f t="shared" si="3"/>
        <v>1831.2538045431318</v>
      </c>
      <c r="E46" s="1">
        <f t="shared" si="4"/>
        <v>242198.15453111992</v>
      </c>
    </row>
    <row r="47" spans="1:5">
      <c r="A47">
        <f t="shared" si="0"/>
        <v>34</v>
      </c>
      <c r="B47" s="1">
        <f t="shared" si="1"/>
        <v>3800.2732125074845</v>
      </c>
      <c r="C47" s="1">
        <f t="shared" si="2"/>
        <v>1983.7870535240852</v>
      </c>
      <c r="D47" s="1">
        <f t="shared" si="3"/>
        <v>1816.4861589833993</v>
      </c>
      <c r="E47" s="1">
        <f t="shared" si="4"/>
        <v>240214.36747759584</v>
      </c>
    </row>
    <row r="48" spans="1:5">
      <c r="A48">
        <f t="shared" si="0"/>
        <v>35</v>
      </c>
      <c r="B48" s="1">
        <f t="shared" si="1"/>
        <v>3800.2732125074845</v>
      </c>
      <c r="C48" s="1">
        <f t="shared" si="2"/>
        <v>1998.6654564255157</v>
      </c>
      <c r="D48" s="1">
        <f t="shared" si="3"/>
        <v>1801.6077560819688</v>
      </c>
      <c r="E48" s="1">
        <f t="shared" si="4"/>
        <v>238215.70202117032</v>
      </c>
    </row>
    <row r="49" spans="1:5">
      <c r="A49">
        <f t="shared" si="0"/>
        <v>36</v>
      </c>
      <c r="B49" s="1">
        <f t="shared" si="1"/>
        <v>3800.2732125074845</v>
      </c>
      <c r="C49" s="1">
        <f t="shared" si="2"/>
        <v>2013.6554473487072</v>
      </c>
      <c r="D49" s="1">
        <f t="shared" si="3"/>
        <v>1786.6177651587773</v>
      </c>
      <c r="E49" s="1">
        <f t="shared" si="4"/>
        <v>236202.0465738216</v>
      </c>
    </row>
    <row r="50" spans="1:5">
      <c r="A50">
        <f t="shared" si="0"/>
        <v>37</v>
      </c>
      <c r="B50" s="1">
        <f t="shared" si="1"/>
        <v>3800.2732125074845</v>
      </c>
      <c r="C50" s="1">
        <f t="shared" si="2"/>
        <v>2028.7578632038226</v>
      </c>
      <c r="D50" s="1">
        <f t="shared" si="3"/>
        <v>1771.5153493036619</v>
      </c>
      <c r="E50" s="1">
        <f t="shared" si="4"/>
        <v>234173.28871061778</v>
      </c>
    </row>
    <row r="51" spans="1:5">
      <c r="A51">
        <f t="shared" si="0"/>
        <v>38</v>
      </c>
      <c r="B51" s="1">
        <f t="shared" si="1"/>
        <v>3800.2732125074845</v>
      </c>
      <c r="C51" s="1">
        <f t="shared" si="2"/>
        <v>2043.9735471778511</v>
      </c>
      <c r="D51" s="1">
        <f t="shared" si="3"/>
        <v>1756.2996653296334</v>
      </c>
      <c r="E51" s="1">
        <f t="shared" si="4"/>
        <v>232129.31516343993</v>
      </c>
    </row>
    <row r="52" spans="1:5">
      <c r="A52">
        <f t="shared" si="0"/>
        <v>39</v>
      </c>
      <c r="B52" s="1">
        <f t="shared" si="1"/>
        <v>3800.2732125074845</v>
      </c>
      <c r="C52" s="1">
        <f t="shared" si="2"/>
        <v>2059.3033487816851</v>
      </c>
      <c r="D52" s="1">
        <f t="shared" si="3"/>
        <v>1740.9698637257993</v>
      </c>
      <c r="E52" s="1">
        <f t="shared" si="4"/>
        <v>230070.01181465824</v>
      </c>
    </row>
    <row r="53" spans="1:5">
      <c r="A53">
        <f t="shared" si="0"/>
        <v>40</v>
      </c>
      <c r="B53" s="1">
        <f t="shared" si="1"/>
        <v>3800.2732125074845</v>
      </c>
      <c r="C53" s="1">
        <f t="shared" si="2"/>
        <v>2074.7481238975479</v>
      </c>
      <c r="D53" s="1">
        <f t="shared" si="3"/>
        <v>1725.5250886099368</v>
      </c>
      <c r="E53" s="1">
        <f t="shared" si="4"/>
        <v>227995.26369076068</v>
      </c>
    </row>
    <row r="54" spans="1:5">
      <c r="A54">
        <f t="shared" si="0"/>
        <v>41</v>
      </c>
      <c r="B54" s="1">
        <f t="shared" si="1"/>
        <v>3800.2732125074845</v>
      </c>
      <c r="C54" s="1">
        <f t="shared" si="2"/>
        <v>2090.3087348267795</v>
      </c>
      <c r="D54" s="1">
        <f t="shared" si="3"/>
        <v>1709.9644776807049</v>
      </c>
      <c r="E54" s="1">
        <f t="shared" si="4"/>
        <v>225904.95495593391</v>
      </c>
    </row>
    <row r="55" spans="1:5">
      <c r="A55">
        <f t="shared" si="0"/>
        <v>42</v>
      </c>
      <c r="B55" s="1">
        <f t="shared" si="1"/>
        <v>3800.2732125074845</v>
      </c>
      <c r="C55" s="1">
        <f t="shared" si="2"/>
        <v>2105.9860503379805</v>
      </c>
      <c r="D55" s="1">
        <f t="shared" si="3"/>
        <v>1694.2871621695042</v>
      </c>
      <c r="E55" s="1">
        <f t="shared" si="4"/>
        <v>223798.96890559592</v>
      </c>
    </row>
    <row r="56" spans="1:5">
      <c r="A56">
        <f t="shared" si="0"/>
        <v>43</v>
      </c>
      <c r="B56" s="1">
        <f t="shared" si="1"/>
        <v>3800.2732125074845</v>
      </c>
      <c r="C56" s="1">
        <f t="shared" si="2"/>
        <v>2121.7809457155154</v>
      </c>
      <c r="D56" s="1">
        <f t="shared" si="3"/>
        <v>1678.4922667919693</v>
      </c>
      <c r="E56" s="1">
        <f t="shared" si="4"/>
        <v>221677.18795988039</v>
      </c>
    </row>
    <row r="57" spans="1:5">
      <c r="A57">
        <f t="shared" si="0"/>
        <v>44</v>
      </c>
      <c r="B57" s="1">
        <f t="shared" si="1"/>
        <v>3800.2732125074845</v>
      </c>
      <c r="C57" s="1">
        <f t="shared" si="2"/>
        <v>2137.6943028083815</v>
      </c>
      <c r="D57" s="1">
        <f t="shared" si="3"/>
        <v>1662.578909699103</v>
      </c>
      <c r="E57" s="1">
        <f t="shared" si="4"/>
        <v>219539.49365707202</v>
      </c>
    </row>
    <row r="58" spans="1:5">
      <c r="A58">
        <f t="shared" si="0"/>
        <v>45</v>
      </c>
      <c r="B58" s="1">
        <f t="shared" si="1"/>
        <v>3800.2732125074845</v>
      </c>
      <c r="C58" s="1">
        <f t="shared" si="2"/>
        <v>2153.7270100794444</v>
      </c>
      <c r="D58" s="1">
        <f t="shared" si="3"/>
        <v>1646.54620242804</v>
      </c>
      <c r="E58" s="1">
        <f t="shared" si="4"/>
        <v>217385.76664699256</v>
      </c>
    </row>
    <row r="59" spans="1:5">
      <c r="A59">
        <f t="shared" si="0"/>
        <v>46</v>
      </c>
      <c r="B59" s="1">
        <f t="shared" si="1"/>
        <v>3800.2732125074845</v>
      </c>
      <c r="C59" s="1">
        <f t="shared" si="2"/>
        <v>2169.8799626550403</v>
      </c>
      <c r="D59" s="1">
        <f t="shared" si="3"/>
        <v>1630.3932498524441</v>
      </c>
      <c r="E59" s="1">
        <f t="shared" si="4"/>
        <v>215215.88668433751</v>
      </c>
    </row>
    <row r="60" spans="1:5">
      <c r="A60">
        <f t="shared" si="0"/>
        <v>47</v>
      </c>
      <c r="B60" s="1">
        <f t="shared" si="1"/>
        <v>3800.2732125074845</v>
      </c>
      <c r="C60" s="1">
        <f t="shared" si="2"/>
        <v>2186.1540623749534</v>
      </c>
      <c r="D60" s="1">
        <f t="shared" si="3"/>
        <v>1614.1191501325313</v>
      </c>
      <c r="E60" s="1">
        <f t="shared" si="4"/>
        <v>213029.73262196255</v>
      </c>
    </row>
    <row r="61" spans="1:5">
      <c r="A61">
        <f t="shared" si="0"/>
        <v>48</v>
      </c>
      <c r="B61" s="1">
        <f t="shared" si="1"/>
        <v>3800.2732125074845</v>
      </c>
      <c r="C61" s="1">
        <f t="shared" si="2"/>
        <v>2202.5502178427651</v>
      </c>
      <c r="D61" s="1">
        <f t="shared" si="3"/>
        <v>1597.7229946647192</v>
      </c>
      <c r="E61" s="1">
        <f t="shared" si="4"/>
        <v>210827.18240411978</v>
      </c>
    </row>
    <row r="62" spans="1:5">
      <c r="A62">
        <f t="shared" si="0"/>
        <v>49</v>
      </c>
      <c r="B62" s="1">
        <f t="shared" si="1"/>
        <v>3800.2732125074845</v>
      </c>
      <c r="C62" s="1">
        <f t="shared" si="2"/>
        <v>2219.0693444765861</v>
      </c>
      <c r="D62" s="1">
        <f t="shared" si="3"/>
        <v>1581.2038680308983</v>
      </c>
      <c r="E62" s="1">
        <f t="shared" si="4"/>
        <v>208608.11305964319</v>
      </c>
    </row>
    <row r="63" spans="1:5">
      <c r="A63">
        <f t="shared" si="0"/>
        <v>50</v>
      </c>
      <c r="B63" s="1">
        <f t="shared" si="1"/>
        <v>3800.2732125074845</v>
      </c>
      <c r="C63" s="1">
        <f t="shared" si="2"/>
        <v>2235.7123645601605</v>
      </c>
      <c r="D63" s="1">
        <f t="shared" si="3"/>
        <v>1564.560847947324</v>
      </c>
      <c r="E63" s="1">
        <f t="shared" si="4"/>
        <v>206372.40069508302</v>
      </c>
    </row>
    <row r="64" spans="1:5">
      <c r="A64">
        <f t="shared" si="0"/>
        <v>51</v>
      </c>
      <c r="B64" s="1">
        <f t="shared" si="1"/>
        <v>3800.2732125074845</v>
      </c>
      <c r="C64" s="1">
        <f t="shared" si="2"/>
        <v>2252.4802072943621</v>
      </c>
      <c r="D64" s="1">
        <f t="shared" si="3"/>
        <v>1547.7930052131226</v>
      </c>
      <c r="E64" s="1">
        <f t="shared" si="4"/>
        <v>204119.92048778865</v>
      </c>
    </row>
    <row r="65" spans="1:5">
      <c r="A65">
        <f t="shared" si="0"/>
        <v>52</v>
      </c>
      <c r="B65" s="1">
        <f t="shared" si="1"/>
        <v>3800.2732125074845</v>
      </c>
      <c r="C65" s="1">
        <f t="shared" si="2"/>
        <v>2269.3738088490695</v>
      </c>
      <c r="D65" s="1">
        <f t="shared" si="3"/>
        <v>1530.8994036584149</v>
      </c>
      <c r="E65" s="1">
        <f t="shared" si="4"/>
        <v>201850.54667893957</v>
      </c>
    </row>
    <row r="66" spans="1:5">
      <c r="A66">
        <f t="shared" si="0"/>
        <v>53</v>
      </c>
      <c r="B66" s="1">
        <f t="shared" si="1"/>
        <v>3800.2732125074845</v>
      </c>
      <c r="C66" s="1">
        <f t="shared" si="2"/>
        <v>2286.394112415438</v>
      </c>
      <c r="D66" s="1">
        <f t="shared" si="3"/>
        <v>1513.8791000920467</v>
      </c>
      <c r="E66" s="1">
        <f t="shared" si="4"/>
        <v>199564.15256652414</v>
      </c>
    </row>
    <row r="67" spans="1:5">
      <c r="A67">
        <f t="shared" si="0"/>
        <v>54</v>
      </c>
      <c r="B67" s="1">
        <f t="shared" si="1"/>
        <v>3800.2732125074845</v>
      </c>
      <c r="C67" s="1">
        <f t="shared" si="2"/>
        <v>2303.5420682585536</v>
      </c>
      <c r="D67" s="1">
        <f t="shared" si="3"/>
        <v>1496.7311442489311</v>
      </c>
      <c r="E67" s="1">
        <f t="shared" si="4"/>
        <v>197260.6104982656</v>
      </c>
    </row>
    <row r="68" spans="1:5">
      <c r="A68">
        <f t="shared" si="0"/>
        <v>55</v>
      </c>
      <c r="B68" s="1">
        <f t="shared" si="1"/>
        <v>3800.2732125074845</v>
      </c>
      <c r="C68" s="1">
        <f t="shared" si="2"/>
        <v>2320.8186337704929</v>
      </c>
      <c r="D68" s="1">
        <f t="shared" si="3"/>
        <v>1479.4545787369918</v>
      </c>
      <c r="E68" s="1">
        <f t="shared" si="4"/>
        <v>194939.79186449511</v>
      </c>
    </row>
    <row r="69" spans="1:5">
      <c r="A69">
        <f t="shared" si="0"/>
        <v>56</v>
      </c>
      <c r="B69" s="1">
        <f t="shared" si="1"/>
        <v>3800.2732125074845</v>
      </c>
      <c r="C69" s="1">
        <f t="shared" si="2"/>
        <v>2338.2247735237711</v>
      </c>
      <c r="D69" s="1">
        <f t="shared" si="3"/>
        <v>1462.0484389837134</v>
      </c>
      <c r="E69" s="1">
        <f t="shared" si="4"/>
        <v>192601.56709097134</v>
      </c>
    </row>
    <row r="70" spans="1:5">
      <c r="A70">
        <f t="shared" si="0"/>
        <v>57</v>
      </c>
      <c r="B70" s="1">
        <f t="shared" si="1"/>
        <v>3800.2732125074845</v>
      </c>
      <c r="C70" s="1">
        <f t="shared" si="2"/>
        <v>2355.7614593251992</v>
      </c>
      <c r="D70" s="1">
        <f t="shared" si="3"/>
        <v>1444.511753182285</v>
      </c>
      <c r="E70" s="1">
        <f t="shared" si="4"/>
        <v>190245.80563164613</v>
      </c>
    </row>
    <row r="71" spans="1:5">
      <c r="A71">
        <f t="shared" si="0"/>
        <v>58</v>
      </c>
      <c r="B71" s="1">
        <f t="shared" si="1"/>
        <v>3800.2732125074845</v>
      </c>
      <c r="C71" s="1">
        <f t="shared" si="2"/>
        <v>2373.4296702701386</v>
      </c>
      <c r="D71" s="1">
        <f t="shared" si="3"/>
        <v>1426.8435422373459</v>
      </c>
      <c r="E71" s="1">
        <f t="shared" si="4"/>
        <v>187872.375961376</v>
      </c>
    </row>
    <row r="72" spans="1:5">
      <c r="A72">
        <f t="shared" si="0"/>
        <v>59</v>
      </c>
      <c r="B72" s="1">
        <f t="shared" si="1"/>
        <v>3800.2732125074845</v>
      </c>
      <c r="C72" s="1">
        <f t="shared" si="2"/>
        <v>2391.2303927971643</v>
      </c>
      <c r="D72" s="1">
        <f t="shared" si="3"/>
        <v>1409.0428197103199</v>
      </c>
      <c r="E72" s="1">
        <f t="shared" si="4"/>
        <v>185481.14556857885</v>
      </c>
    </row>
    <row r="73" spans="1:5">
      <c r="A73">
        <f t="shared" si="0"/>
        <v>60</v>
      </c>
      <c r="B73" s="1">
        <f t="shared" si="1"/>
        <v>3800.2732125074845</v>
      </c>
      <c r="C73" s="1">
        <f t="shared" si="2"/>
        <v>2409.1646207431431</v>
      </c>
      <c r="D73" s="1">
        <f t="shared" si="3"/>
        <v>1391.1085917643413</v>
      </c>
      <c r="E73" s="1">
        <f t="shared" si="4"/>
        <v>183071.98094783572</v>
      </c>
    </row>
    <row r="74" spans="1:5">
      <c r="A74">
        <f t="shared" si="0"/>
        <v>61</v>
      </c>
      <c r="B74" s="1">
        <f t="shared" si="1"/>
        <v>3800.2732125074845</v>
      </c>
      <c r="C74" s="1">
        <f t="shared" si="2"/>
        <v>2427.2333553987164</v>
      </c>
      <c r="D74" s="1">
        <f t="shared" si="3"/>
        <v>1373.0398571087678</v>
      </c>
      <c r="E74" s="1">
        <f t="shared" si="4"/>
        <v>180644.74759243699</v>
      </c>
    </row>
    <row r="75" spans="1:5">
      <c r="A75">
        <f t="shared" si="0"/>
        <v>62</v>
      </c>
      <c r="B75" s="1">
        <f t="shared" si="1"/>
        <v>3800.2732125074845</v>
      </c>
      <c r="C75" s="1">
        <f t="shared" si="2"/>
        <v>2445.4376055642069</v>
      </c>
      <c r="D75" s="1">
        <f t="shared" si="3"/>
        <v>1354.8356069432773</v>
      </c>
      <c r="E75" s="1">
        <f t="shared" si="4"/>
        <v>178199.30998687277</v>
      </c>
    </row>
    <row r="76" spans="1:5">
      <c r="A76">
        <f t="shared" si="0"/>
        <v>63</v>
      </c>
      <c r="B76" s="1">
        <f t="shared" si="1"/>
        <v>3800.2732125074845</v>
      </c>
      <c r="C76" s="1">
        <f t="shared" si="2"/>
        <v>2463.7783876059384</v>
      </c>
      <c r="D76" s="1">
        <f t="shared" si="3"/>
        <v>1336.4948249015458</v>
      </c>
      <c r="E76" s="1">
        <f t="shared" si="4"/>
        <v>175735.53159926683</v>
      </c>
    </row>
    <row r="77" spans="1:5">
      <c r="A77">
        <f t="shared" si="0"/>
        <v>64</v>
      </c>
      <c r="B77" s="1">
        <f t="shared" si="1"/>
        <v>3800.2732125074845</v>
      </c>
      <c r="C77" s="1">
        <f t="shared" si="2"/>
        <v>2482.2567255129834</v>
      </c>
      <c r="D77" s="1">
        <f t="shared" si="3"/>
        <v>1318.0164869945013</v>
      </c>
      <c r="E77" s="1">
        <f t="shared" si="4"/>
        <v>173253.27487375383</v>
      </c>
    </row>
    <row r="78" spans="1:5">
      <c r="A78">
        <f t="shared" si="0"/>
        <v>65</v>
      </c>
      <c r="B78" s="1">
        <f t="shared" si="1"/>
        <v>3800.2732125074845</v>
      </c>
      <c r="C78" s="1">
        <f t="shared" si="2"/>
        <v>2500.8736509543305</v>
      </c>
      <c r="D78" s="1">
        <f t="shared" si="3"/>
        <v>1299.3995615531537</v>
      </c>
      <c r="E78" s="1">
        <f t="shared" si="4"/>
        <v>170752.4012227995</v>
      </c>
    </row>
    <row r="79" spans="1:5">
      <c r="A79">
        <f t="shared" si="0"/>
        <v>66</v>
      </c>
      <c r="B79" s="1">
        <f t="shared" si="1"/>
        <v>3800.2732125074845</v>
      </c>
      <c r="C79" s="1">
        <f t="shared" si="2"/>
        <v>2519.6302033364882</v>
      </c>
      <c r="D79" s="1">
        <f t="shared" si="3"/>
        <v>1280.6430091709963</v>
      </c>
      <c r="E79" s="1">
        <f t="shared" si="4"/>
        <v>168232.77101946302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3800.2732125074845</v>
      </c>
      <c r="C80" s="1">
        <f t="shared" ref="C80:C143" si="7">IF(A80="","",B80-D80)</f>
        <v>2538.5274298615118</v>
      </c>
      <c r="D80" s="1">
        <f t="shared" ref="D80:D143" si="8">IF(A80="","",(E79*($B$6/$B$8)))</f>
        <v>1261.7457826459727</v>
      </c>
      <c r="E80" s="1">
        <f t="shared" ref="E80:E143" si="9">IF(A80="","",E79-C80)</f>
        <v>165694.24358960151</v>
      </c>
    </row>
    <row r="81" spans="1:5">
      <c r="A81">
        <f t="shared" si="5"/>
        <v>68</v>
      </c>
      <c r="B81" s="1">
        <f t="shared" si="6"/>
        <v>3800.2732125074845</v>
      </c>
      <c r="C81" s="1">
        <f t="shared" si="7"/>
        <v>2557.5663855854732</v>
      </c>
      <c r="D81" s="1">
        <f t="shared" si="8"/>
        <v>1242.7068269220113</v>
      </c>
      <c r="E81" s="1">
        <f t="shared" si="9"/>
        <v>163136.67720401604</v>
      </c>
    </row>
    <row r="82" spans="1:5">
      <c r="A82">
        <f t="shared" si="5"/>
        <v>69</v>
      </c>
      <c r="B82" s="1">
        <f t="shared" si="6"/>
        <v>3800.2732125074845</v>
      </c>
      <c r="C82" s="1">
        <f t="shared" si="7"/>
        <v>2576.7481334773643</v>
      </c>
      <c r="D82" s="1">
        <f t="shared" si="8"/>
        <v>1223.5250790301202</v>
      </c>
      <c r="E82" s="1">
        <f t="shared" si="9"/>
        <v>160559.92907053867</v>
      </c>
    </row>
    <row r="83" spans="1:5">
      <c r="A83">
        <f t="shared" si="5"/>
        <v>70</v>
      </c>
      <c r="B83" s="1">
        <f t="shared" si="6"/>
        <v>3800.2732125074845</v>
      </c>
      <c r="C83" s="1">
        <f t="shared" si="7"/>
        <v>2596.0737444784445</v>
      </c>
      <c r="D83" s="1">
        <f t="shared" si="8"/>
        <v>1204.19946802904</v>
      </c>
      <c r="E83" s="1">
        <f t="shared" si="9"/>
        <v>157963.85532606023</v>
      </c>
    </row>
    <row r="84" spans="1:5">
      <c r="A84">
        <f t="shared" si="5"/>
        <v>71</v>
      </c>
      <c r="B84" s="1">
        <f t="shared" si="6"/>
        <v>3800.2732125074845</v>
      </c>
      <c r="C84" s="1">
        <f t="shared" si="7"/>
        <v>2615.5442975620326</v>
      </c>
      <c r="D84" s="1">
        <f t="shared" si="8"/>
        <v>1184.7289149454516</v>
      </c>
      <c r="E84" s="1">
        <f t="shared" si="9"/>
        <v>155348.3110284982</v>
      </c>
    </row>
    <row r="85" spans="1:5">
      <c r="A85">
        <f t="shared" si="5"/>
        <v>72</v>
      </c>
      <c r="B85" s="1">
        <f t="shared" si="6"/>
        <v>3800.2732125074845</v>
      </c>
      <c r="C85" s="1">
        <f t="shared" si="7"/>
        <v>2635.1608797937479</v>
      </c>
      <c r="D85" s="1">
        <f t="shared" si="8"/>
        <v>1165.1123327137364</v>
      </c>
      <c r="E85" s="1">
        <f t="shared" si="9"/>
        <v>152713.15014870444</v>
      </c>
    </row>
    <row r="86" spans="1:5">
      <c r="A86">
        <f t="shared" si="5"/>
        <v>73</v>
      </c>
      <c r="B86" s="1">
        <f t="shared" si="6"/>
        <v>3800.2732125074845</v>
      </c>
      <c r="C86" s="1">
        <f t="shared" si="7"/>
        <v>2654.9245863922015</v>
      </c>
      <c r="D86" s="1">
        <f t="shared" si="8"/>
        <v>1145.3486261152832</v>
      </c>
      <c r="E86" s="1">
        <f t="shared" si="9"/>
        <v>150058.22556231223</v>
      </c>
    </row>
    <row r="87" spans="1:5">
      <c r="A87">
        <f t="shared" si="5"/>
        <v>74</v>
      </c>
      <c r="B87" s="1">
        <f t="shared" si="6"/>
        <v>3800.2732125074845</v>
      </c>
      <c r="C87" s="1">
        <f t="shared" si="7"/>
        <v>2674.8365207901425</v>
      </c>
      <c r="D87" s="1">
        <f t="shared" si="8"/>
        <v>1125.4366917173418</v>
      </c>
      <c r="E87" s="1">
        <f t="shared" si="9"/>
        <v>147383.38904152208</v>
      </c>
    </row>
    <row r="88" spans="1:5">
      <c r="A88">
        <f t="shared" si="5"/>
        <v>75</v>
      </c>
      <c r="B88" s="1">
        <f t="shared" si="6"/>
        <v>3800.2732125074845</v>
      </c>
      <c r="C88" s="1">
        <f t="shared" si="7"/>
        <v>2694.8977946960686</v>
      </c>
      <c r="D88" s="1">
        <f t="shared" si="8"/>
        <v>1105.3754178114157</v>
      </c>
      <c r="E88" s="1">
        <f t="shared" si="9"/>
        <v>144688.49124682602</v>
      </c>
    </row>
    <row r="89" spans="1:5">
      <c r="A89">
        <f t="shared" si="5"/>
        <v>76</v>
      </c>
      <c r="B89" s="1">
        <f t="shared" si="6"/>
        <v>3800.2732125074845</v>
      </c>
      <c r="C89" s="1">
        <f t="shared" si="7"/>
        <v>2715.1095281562893</v>
      </c>
      <c r="D89" s="1">
        <f t="shared" si="8"/>
        <v>1085.1636843511951</v>
      </c>
      <c r="E89" s="1">
        <f t="shared" si="9"/>
        <v>141973.38171866973</v>
      </c>
    </row>
    <row r="90" spans="1:5">
      <c r="A90">
        <f t="shared" si="5"/>
        <v>77</v>
      </c>
      <c r="B90" s="1">
        <f t="shared" si="6"/>
        <v>3800.2732125074845</v>
      </c>
      <c r="C90" s="1">
        <f t="shared" si="7"/>
        <v>2735.4728496174616</v>
      </c>
      <c r="D90" s="1">
        <f t="shared" si="8"/>
        <v>1064.8003628900228</v>
      </c>
      <c r="E90" s="1">
        <f t="shared" si="9"/>
        <v>139237.90886905228</v>
      </c>
    </row>
    <row r="91" spans="1:5">
      <c r="A91">
        <f t="shared" si="5"/>
        <v>78</v>
      </c>
      <c r="B91" s="1">
        <f t="shared" si="6"/>
        <v>3800.2732125074845</v>
      </c>
      <c r="C91" s="1">
        <f t="shared" si="7"/>
        <v>2755.9888959895925</v>
      </c>
      <c r="D91" s="1">
        <f t="shared" si="8"/>
        <v>1044.284316517892</v>
      </c>
      <c r="E91" s="1">
        <f t="shared" si="9"/>
        <v>136481.91997306267</v>
      </c>
    </row>
    <row r="92" spans="1:5">
      <c r="A92">
        <f t="shared" si="5"/>
        <v>79</v>
      </c>
      <c r="B92" s="1">
        <f t="shared" si="6"/>
        <v>3800.2732125074845</v>
      </c>
      <c r="C92" s="1">
        <f t="shared" si="7"/>
        <v>2776.6588127095147</v>
      </c>
      <c r="D92" s="1">
        <f t="shared" si="8"/>
        <v>1023.61439979797</v>
      </c>
      <c r="E92" s="1">
        <f t="shared" si="9"/>
        <v>133705.26116035317</v>
      </c>
    </row>
    <row r="93" spans="1:5">
      <c r="A93">
        <f t="shared" si="5"/>
        <v>80</v>
      </c>
      <c r="B93" s="1">
        <f t="shared" si="6"/>
        <v>3800.2732125074845</v>
      </c>
      <c r="C93" s="1">
        <f t="shared" si="7"/>
        <v>2797.4837538048359</v>
      </c>
      <c r="D93" s="1">
        <f t="shared" si="8"/>
        <v>1002.7894587026487</v>
      </c>
      <c r="E93" s="1">
        <f t="shared" si="9"/>
        <v>130907.77740654834</v>
      </c>
    </row>
    <row r="94" spans="1:5">
      <c r="A94">
        <f t="shared" si="5"/>
        <v>81</v>
      </c>
      <c r="B94" s="1">
        <f t="shared" si="6"/>
        <v>3800.2732125074845</v>
      </c>
      <c r="C94" s="1">
        <f t="shared" si="7"/>
        <v>2818.4648819583717</v>
      </c>
      <c r="D94" s="1">
        <f t="shared" si="8"/>
        <v>981.8083305491125</v>
      </c>
      <c r="E94" s="1">
        <f t="shared" si="9"/>
        <v>128089.31252458997</v>
      </c>
    </row>
    <row r="95" spans="1:5">
      <c r="A95">
        <f t="shared" si="5"/>
        <v>82</v>
      </c>
      <c r="B95" s="1">
        <f t="shared" si="6"/>
        <v>3800.2732125074845</v>
      </c>
      <c r="C95" s="1">
        <f t="shared" si="7"/>
        <v>2839.6033685730599</v>
      </c>
      <c r="D95" s="1">
        <f t="shared" si="8"/>
        <v>960.66984393442476</v>
      </c>
      <c r="E95" s="1">
        <f t="shared" si="9"/>
        <v>125249.70915601691</v>
      </c>
    </row>
    <row r="96" spans="1:5">
      <c r="A96">
        <f t="shared" si="5"/>
        <v>83</v>
      </c>
      <c r="B96" s="1">
        <f t="shared" si="6"/>
        <v>3800.2732125074845</v>
      </c>
      <c r="C96" s="1">
        <f t="shared" si="7"/>
        <v>2860.9003938373576</v>
      </c>
      <c r="D96" s="1">
        <f t="shared" si="8"/>
        <v>939.37281867012678</v>
      </c>
      <c r="E96" s="1">
        <f t="shared" si="9"/>
        <v>122388.80876217954</v>
      </c>
    </row>
    <row r="97" spans="1:5">
      <c r="A97">
        <f t="shared" si="5"/>
        <v>84</v>
      </c>
      <c r="B97" s="1">
        <f t="shared" si="6"/>
        <v>3800.2732125074845</v>
      </c>
      <c r="C97" s="1">
        <f t="shared" si="7"/>
        <v>2882.3571467911379</v>
      </c>
      <c r="D97" s="1">
        <f t="shared" si="8"/>
        <v>917.91606571634657</v>
      </c>
      <c r="E97" s="1">
        <f t="shared" si="9"/>
        <v>119506.4516153884</v>
      </c>
    </row>
    <row r="98" spans="1:5">
      <c r="A98">
        <f t="shared" si="5"/>
        <v>85</v>
      </c>
      <c r="B98" s="1">
        <f t="shared" si="6"/>
        <v>3800.2732125074845</v>
      </c>
      <c r="C98" s="1">
        <f t="shared" si="7"/>
        <v>2903.9748253920716</v>
      </c>
      <c r="D98" s="1">
        <f t="shared" si="8"/>
        <v>896.29838711541299</v>
      </c>
      <c r="E98" s="1">
        <f t="shared" si="9"/>
        <v>116602.47678999633</v>
      </c>
    </row>
    <row r="99" spans="1:5">
      <c r="A99">
        <f t="shared" si="5"/>
        <v>86</v>
      </c>
      <c r="B99" s="1">
        <f t="shared" si="6"/>
        <v>3800.2732125074845</v>
      </c>
      <c r="C99" s="1">
        <f t="shared" si="7"/>
        <v>2925.7546365825119</v>
      </c>
      <c r="D99" s="1">
        <f t="shared" si="8"/>
        <v>874.51857592497242</v>
      </c>
      <c r="E99" s="1">
        <f t="shared" si="9"/>
        <v>113676.72215341382</v>
      </c>
    </row>
    <row r="100" spans="1:5">
      <c r="A100">
        <f t="shared" si="5"/>
        <v>87</v>
      </c>
      <c r="B100" s="1">
        <f t="shared" si="6"/>
        <v>3800.2732125074845</v>
      </c>
      <c r="C100" s="1">
        <f t="shared" si="7"/>
        <v>2947.6977963568806</v>
      </c>
      <c r="D100" s="1">
        <f t="shared" si="8"/>
        <v>852.57541615060359</v>
      </c>
      <c r="E100" s="1">
        <f t="shared" si="9"/>
        <v>110729.02435705694</v>
      </c>
    </row>
    <row r="101" spans="1:5">
      <c r="A101">
        <f t="shared" si="5"/>
        <v>88</v>
      </c>
      <c r="B101" s="1">
        <f t="shared" si="6"/>
        <v>3800.2732125074845</v>
      </c>
      <c r="C101" s="1">
        <f t="shared" si="7"/>
        <v>2969.8055298295576</v>
      </c>
      <c r="D101" s="1">
        <f t="shared" si="8"/>
        <v>830.46768267792709</v>
      </c>
      <c r="E101" s="1">
        <f t="shared" si="9"/>
        <v>107759.21882722739</v>
      </c>
    </row>
    <row r="102" spans="1:5">
      <c r="A102">
        <f t="shared" si="5"/>
        <v>89</v>
      </c>
      <c r="B102" s="1">
        <f t="shared" si="6"/>
        <v>3800.2732125074845</v>
      </c>
      <c r="C102" s="1">
        <f t="shared" si="7"/>
        <v>2992.0790713032793</v>
      </c>
      <c r="D102" s="1">
        <f t="shared" si="8"/>
        <v>808.19414120420538</v>
      </c>
      <c r="E102" s="1">
        <f t="shared" si="9"/>
        <v>104767.13975592412</v>
      </c>
    </row>
    <row r="103" spans="1:5">
      <c r="A103">
        <f t="shared" si="5"/>
        <v>90</v>
      </c>
      <c r="B103" s="1">
        <f t="shared" si="6"/>
        <v>3800.2732125074845</v>
      </c>
      <c r="C103" s="1">
        <f t="shared" si="7"/>
        <v>3014.5196643380536</v>
      </c>
      <c r="D103" s="1">
        <f t="shared" si="8"/>
        <v>785.75354816943081</v>
      </c>
      <c r="E103" s="1">
        <f t="shared" si="9"/>
        <v>101752.62009158607</v>
      </c>
    </row>
    <row r="104" spans="1:5">
      <c r="A104">
        <f t="shared" si="5"/>
        <v>91</v>
      </c>
      <c r="B104" s="1">
        <f t="shared" si="6"/>
        <v>3800.2732125074845</v>
      </c>
      <c r="C104" s="1">
        <f t="shared" si="7"/>
        <v>3037.1285618205889</v>
      </c>
      <c r="D104" s="1">
        <f t="shared" si="8"/>
        <v>763.14465068689549</v>
      </c>
      <c r="E104" s="1">
        <f t="shared" si="9"/>
        <v>98715.491529765481</v>
      </c>
    </row>
    <row r="105" spans="1:5">
      <c r="A105">
        <f t="shared" si="5"/>
        <v>92</v>
      </c>
      <c r="B105" s="1">
        <f t="shared" si="6"/>
        <v>3800.2732125074845</v>
      </c>
      <c r="C105" s="1">
        <f t="shared" si="7"/>
        <v>3059.9070260342432</v>
      </c>
      <c r="D105" s="1">
        <f t="shared" si="8"/>
        <v>740.3661864732411</v>
      </c>
      <c r="E105" s="1">
        <f t="shared" si="9"/>
        <v>95655.584503731239</v>
      </c>
    </row>
    <row r="106" spans="1:5">
      <c r="A106">
        <f t="shared" si="5"/>
        <v>93</v>
      </c>
      <c r="B106" s="1">
        <f t="shared" si="6"/>
        <v>3800.2732125074845</v>
      </c>
      <c r="C106" s="1">
        <f t="shared" si="7"/>
        <v>3082.8563287295001</v>
      </c>
      <c r="D106" s="1">
        <f t="shared" si="8"/>
        <v>717.41688377798425</v>
      </c>
      <c r="E106" s="1">
        <f t="shared" si="9"/>
        <v>92572.728175001743</v>
      </c>
    </row>
    <row r="107" spans="1:5">
      <c r="A107">
        <f t="shared" si="5"/>
        <v>94</v>
      </c>
      <c r="B107" s="1">
        <f t="shared" si="6"/>
        <v>3800.2732125074845</v>
      </c>
      <c r="C107" s="1">
        <f t="shared" si="7"/>
        <v>3105.9777511949715</v>
      </c>
      <c r="D107" s="1">
        <f t="shared" si="8"/>
        <v>694.295461312513</v>
      </c>
      <c r="E107" s="1">
        <f t="shared" si="9"/>
        <v>89466.750423806778</v>
      </c>
    </row>
    <row r="108" spans="1:5">
      <c r="A108">
        <f t="shared" si="5"/>
        <v>95</v>
      </c>
      <c r="B108" s="1">
        <f t="shared" si="6"/>
        <v>3800.2732125074845</v>
      </c>
      <c r="C108" s="1">
        <f t="shared" si="7"/>
        <v>3129.2725843289336</v>
      </c>
      <c r="D108" s="1">
        <f t="shared" si="8"/>
        <v>671.00062817855076</v>
      </c>
      <c r="E108" s="1">
        <f t="shared" si="9"/>
        <v>86337.47783947784</v>
      </c>
    </row>
    <row r="109" spans="1:5">
      <c r="A109">
        <f t="shared" si="5"/>
        <v>96</v>
      </c>
      <c r="B109" s="1">
        <f t="shared" si="6"/>
        <v>3800.2732125074845</v>
      </c>
      <c r="C109" s="1">
        <f t="shared" si="7"/>
        <v>3152.7421287114007</v>
      </c>
      <c r="D109" s="1">
        <f t="shared" si="8"/>
        <v>647.53108379608375</v>
      </c>
      <c r="E109" s="1">
        <f t="shared" si="9"/>
        <v>83184.735710766443</v>
      </c>
    </row>
    <row r="110" spans="1:5">
      <c r="A110">
        <f t="shared" si="5"/>
        <v>97</v>
      </c>
      <c r="B110" s="1">
        <f t="shared" si="6"/>
        <v>3800.2732125074845</v>
      </c>
      <c r="C110" s="1">
        <f t="shared" si="7"/>
        <v>3176.3876946767359</v>
      </c>
      <c r="D110" s="1">
        <f t="shared" si="8"/>
        <v>623.88551783074831</v>
      </c>
      <c r="E110" s="1">
        <f t="shared" si="9"/>
        <v>80008.348016089702</v>
      </c>
    </row>
    <row r="111" spans="1:5">
      <c r="A111">
        <f t="shared" si="5"/>
        <v>98</v>
      </c>
      <c r="B111" s="1">
        <f t="shared" si="6"/>
        <v>3800.2732125074845</v>
      </c>
      <c r="C111" s="1">
        <f t="shared" si="7"/>
        <v>3200.2106023868118</v>
      </c>
      <c r="D111" s="1">
        <f t="shared" si="8"/>
        <v>600.06261012067273</v>
      </c>
      <c r="E111" s="1">
        <f t="shared" si="9"/>
        <v>76808.137413702891</v>
      </c>
    </row>
    <row r="112" spans="1:5">
      <c r="A112">
        <f t="shared" si="5"/>
        <v>99</v>
      </c>
      <c r="B112" s="1">
        <f t="shared" si="6"/>
        <v>3800.2732125074845</v>
      </c>
      <c r="C112" s="1">
        <f t="shared" si="7"/>
        <v>3224.2121819047129</v>
      </c>
      <c r="D112" s="1">
        <f t="shared" si="8"/>
        <v>576.06103060277167</v>
      </c>
      <c r="E112" s="1">
        <f t="shared" si="9"/>
        <v>73583.925231798174</v>
      </c>
    </row>
    <row r="113" spans="1:5">
      <c r="A113">
        <f t="shared" si="5"/>
        <v>100</v>
      </c>
      <c r="B113" s="1">
        <f t="shared" si="6"/>
        <v>3800.2732125074845</v>
      </c>
      <c r="C113" s="1">
        <f t="shared" si="7"/>
        <v>3248.3937732689983</v>
      </c>
      <c r="D113" s="1">
        <f t="shared" si="8"/>
        <v>551.87943923848627</v>
      </c>
      <c r="E113" s="1">
        <f t="shared" si="9"/>
        <v>70335.531458529178</v>
      </c>
    </row>
    <row r="114" spans="1:5">
      <c r="A114">
        <f t="shared" si="5"/>
        <v>101</v>
      </c>
      <c r="B114" s="1">
        <f t="shared" si="6"/>
        <v>3800.2732125074845</v>
      </c>
      <c r="C114" s="1">
        <f t="shared" si="7"/>
        <v>3272.7567265685157</v>
      </c>
      <c r="D114" s="1">
        <f t="shared" si="8"/>
        <v>527.5164859389688</v>
      </c>
      <c r="E114" s="1">
        <f t="shared" si="9"/>
        <v>67062.774731960657</v>
      </c>
    </row>
    <row r="115" spans="1:5">
      <c r="A115">
        <f t="shared" si="5"/>
        <v>102</v>
      </c>
      <c r="B115" s="1">
        <f t="shared" si="6"/>
        <v>3800.2732125074845</v>
      </c>
      <c r="C115" s="1">
        <f t="shared" si="7"/>
        <v>3297.3024020177795</v>
      </c>
      <c r="D115" s="1">
        <f t="shared" si="8"/>
        <v>502.97081048970489</v>
      </c>
      <c r="E115" s="1">
        <f t="shared" si="9"/>
        <v>63765.472329942881</v>
      </c>
    </row>
    <row r="116" spans="1:5">
      <c r="A116">
        <f t="shared" si="5"/>
        <v>103</v>
      </c>
      <c r="B116" s="1">
        <f t="shared" si="6"/>
        <v>3800.2732125074845</v>
      </c>
      <c r="C116" s="1">
        <f t="shared" si="7"/>
        <v>3322.0321700329127</v>
      </c>
      <c r="D116" s="1">
        <f t="shared" si="8"/>
        <v>478.2410424745716</v>
      </c>
      <c r="E116" s="1">
        <f t="shared" si="9"/>
        <v>60443.440159909966</v>
      </c>
    </row>
    <row r="117" spans="1:5">
      <c r="A117">
        <f t="shared" si="5"/>
        <v>104</v>
      </c>
      <c r="B117" s="1">
        <f t="shared" si="6"/>
        <v>3800.2732125074845</v>
      </c>
      <c r="C117" s="1">
        <f t="shared" si="7"/>
        <v>3346.9474113081596</v>
      </c>
      <c r="D117" s="1">
        <f t="shared" si="8"/>
        <v>453.3258011993247</v>
      </c>
      <c r="E117" s="1">
        <f t="shared" si="9"/>
        <v>57096.492748601806</v>
      </c>
    </row>
    <row r="118" spans="1:5">
      <c r="A118">
        <f t="shared" si="5"/>
        <v>105</v>
      </c>
      <c r="B118" s="1">
        <f t="shared" si="6"/>
        <v>3800.2732125074845</v>
      </c>
      <c r="C118" s="1">
        <f t="shared" si="7"/>
        <v>3372.049516892971</v>
      </c>
      <c r="D118" s="1">
        <f t="shared" si="8"/>
        <v>428.22369561451353</v>
      </c>
      <c r="E118" s="1">
        <f t="shared" si="9"/>
        <v>53724.443231708836</v>
      </c>
    </row>
    <row r="119" spans="1:5">
      <c r="A119">
        <f t="shared" si="5"/>
        <v>106</v>
      </c>
      <c r="B119" s="1">
        <f t="shared" si="6"/>
        <v>3800.2732125074845</v>
      </c>
      <c r="C119" s="1">
        <f t="shared" si="7"/>
        <v>3397.3398882696683</v>
      </c>
      <c r="D119" s="1">
        <f t="shared" si="8"/>
        <v>402.93332423781624</v>
      </c>
      <c r="E119" s="1">
        <f t="shared" si="9"/>
        <v>50327.103343439165</v>
      </c>
    </row>
    <row r="120" spans="1:5">
      <c r="A120">
        <f t="shared" si="5"/>
        <v>107</v>
      </c>
      <c r="B120" s="1">
        <f t="shared" si="6"/>
        <v>3800.2732125074845</v>
      </c>
      <c r="C120" s="1">
        <f t="shared" si="7"/>
        <v>3422.819937431691</v>
      </c>
      <c r="D120" s="1">
        <f t="shared" si="8"/>
        <v>377.45327507579373</v>
      </c>
      <c r="E120" s="1">
        <f t="shared" si="9"/>
        <v>46904.283406007475</v>
      </c>
    </row>
    <row r="121" spans="1:5">
      <c r="A121">
        <f t="shared" si="5"/>
        <v>108</v>
      </c>
      <c r="B121" s="1">
        <f t="shared" si="6"/>
        <v>3800.2732125074845</v>
      </c>
      <c r="C121" s="1">
        <f t="shared" si="7"/>
        <v>3448.4910869624282</v>
      </c>
      <c r="D121" s="1">
        <f t="shared" si="8"/>
        <v>351.78212554505603</v>
      </c>
      <c r="E121" s="1">
        <f t="shared" si="9"/>
        <v>43455.792319045046</v>
      </c>
    </row>
    <row r="122" spans="1:5">
      <c r="A122">
        <f t="shared" si="5"/>
        <v>109</v>
      </c>
      <c r="B122" s="1">
        <f t="shared" si="6"/>
        <v>3800.2732125074845</v>
      </c>
      <c r="C122" s="1">
        <f t="shared" si="7"/>
        <v>3474.3547701146467</v>
      </c>
      <c r="D122" s="1">
        <f t="shared" si="8"/>
        <v>325.91844239283785</v>
      </c>
      <c r="E122" s="1">
        <f t="shared" si="9"/>
        <v>39981.4375489304</v>
      </c>
    </row>
    <row r="123" spans="1:5">
      <c r="A123">
        <f t="shared" si="5"/>
        <v>110</v>
      </c>
      <c r="B123" s="1">
        <f t="shared" si="6"/>
        <v>3800.2732125074845</v>
      </c>
      <c r="C123" s="1">
        <f t="shared" si="7"/>
        <v>3500.4124308905066</v>
      </c>
      <c r="D123" s="1">
        <f t="shared" si="8"/>
        <v>299.86078161697799</v>
      </c>
      <c r="E123" s="1">
        <f t="shared" si="9"/>
        <v>36481.025118039892</v>
      </c>
    </row>
    <row r="124" spans="1:5">
      <c r="A124">
        <f t="shared" si="5"/>
        <v>111</v>
      </c>
      <c r="B124" s="1">
        <f t="shared" si="6"/>
        <v>3800.2732125074845</v>
      </c>
      <c r="C124" s="1">
        <f t="shared" si="7"/>
        <v>3526.6655241221852</v>
      </c>
      <c r="D124" s="1">
        <f t="shared" si="8"/>
        <v>273.60768838529918</v>
      </c>
      <c r="E124" s="1">
        <f t="shared" si="9"/>
        <v>32954.359593917703</v>
      </c>
    </row>
    <row r="125" spans="1:5">
      <c r="A125">
        <f t="shared" si="5"/>
        <v>112</v>
      </c>
      <c r="B125" s="1">
        <f t="shared" si="6"/>
        <v>3800.2732125074845</v>
      </c>
      <c r="C125" s="1">
        <f t="shared" si="7"/>
        <v>3553.1155155531019</v>
      </c>
      <c r="D125" s="1">
        <f t="shared" si="8"/>
        <v>247.15769695438277</v>
      </c>
      <c r="E125" s="1">
        <f t="shared" si="9"/>
        <v>29401.244078364602</v>
      </c>
    </row>
    <row r="126" spans="1:5">
      <c r="A126">
        <f t="shared" si="5"/>
        <v>113</v>
      </c>
      <c r="B126" s="1">
        <f t="shared" si="6"/>
        <v>3800.2732125074845</v>
      </c>
      <c r="C126" s="1">
        <f t="shared" si="7"/>
        <v>3579.76388191975</v>
      </c>
      <c r="D126" s="1">
        <f t="shared" si="8"/>
        <v>220.5093305877345</v>
      </c>
      <c r="E126" s="1">
        <f t="shared" si="9"/>
        <v>25821.480196444852</v>
      </c>
    </row>
    <row r="127" spans="1:5">
      <c r="A127">
        <f t="shared" si="5"/>
        <v>114</v>
      </c>
      <c r="B127" s="1">
        <f t="shared" si="6"/>
        <v>3800.2732125074845</v>
      </c>
      <c r="C127" s="1">
        <f t="shared" si="7"/>
        <v>3606.6121110341483</v>
      </c>
      <c r="D127" s="1">
        <f t="shared" si="8"/>
        <v>193.66110147333637</v>
      </c>
      <c r="E127" s="1">
        <f t="shared" si="9"/>
        <v>22214.868085410704</v>
      </c>
    </row>
    <row r="128" spans="1:5">
      <c r="A128">
        <f t="shared" si="5"/>
        <v>115</v>
      </c>
      <c r="B128" s="1">
        <f t="shared" si="6"/>
        <v>3800.2732125074845</v>
      </c>
      <c r="C128" s="1">
        <f t="shared" si="7"/>
        <v>3633.661701866904</v>
      </c>
      <c r="D128" s="1">
        <f t="shared" si="8"/>
        <v>166.61151064058026</v>
      </c>
      <c r="E128" s="1">
        <f t="shared" si="9"/>
        <v>18581.206383543802</v>
      </c>
    </row>
    <row r="129" spans="1:5">
      <c r="A129">
        <f t="shared" si="5"/>
        <v>116</v>
      </c>
      <c r="B129" s="1">
        <f t="shared" si="6"/>
        <v>3800.2732125074845</v>
      </c>
      <c r="C129" s="1">
        <f t="shared" si="7"/>
        <v>3660.9141646309058</v>
      </c>
      <c r="D129" s="1">
        <f t="shared" si="8"/>
        <v>139.3590478765785</v>
      </c>
      <c r="E129" s="1">
        <f t="shared" si="9"/>
        <v>14920.292218912897</v>
      </c>
    </row>
    <row r="130" spans="1:5">
      <c r="A130">
        <f t="shared" si="5"/>
        <v>117</v>
      </c>
      <c r="B130" s="1">
        <f t="shared" si="6"/>
        <v>3800.2732125074845</v>
      </c>
      <c r="C130" s="1">
        <f t="shared" si="7"/>
        <v>3688.3710208656375</v>
      </c>
      <c r="D130" s="1">
        <f t="shared" si="8"/>
        <v>111.90219164184673</v>
      </c>
      <c r="E130" s="1">
        <f t="shared" si="9"/>
        <v>11231.921198047259</v>
      </c>
    </row>
    <row r="131" spans="1:5">
      <c r="A131">
        <f t="shared" si="5"/>
        <v>118</v>
      </c>
      <c r="B131" s="1">
        <f t="shared" si="6"/>
        <v>3800.2732125074845</v>
      </c>
      <c r="C131" s="1">
        <f t="shared" si="7"/>
        <v>3716.0338035221298</v>
      </c>
      <c r="D131" s="1">
        <f t="shared" si="8"/>
        <v>84.239408985354444</v>
      </c>
      <c r="E131" s="1">
        <f t="shared" si="9"/>
        <v>7515.8873945251289</v>
      </c>
    </row>
    <row r="132" spans="1:5">
      <c r="A132">
        <f t="shared" si="5"/>
        <v>119</v>
      </c>
      <c r="B132" s="1">
        <f t="shared" si="6"/>
        <v>3800.2732125074845</v>
      </c>
      <c r="C132" s="1">
        <f t="shared" si="7"/>
        <v>3743.9040570485458</v>
      </c>
      <c r="D132" s="1">
        <f t="shared" si="8"/>
        <v>56.369155458938465</v>
      </c>
      <c r="E132" s="1">
        <f t="shared" si="9"/>
        <v>3771.9833374765831</v>
      </c>
    </row>
    <row r="133" spans="1:5">
      <c r="A133">
        <f t="shared" si="5"/>
        <v>120</v>
      </c>
      <c r="B133" s="1">
        <f t="shared" si="6"/>
        <v>3800.2732125074845</v>
      </c>
      <c r="C133" s="1">
        <f t="shared" si="7"/>
        <v>3771.9833374764103</v>
      </c>
      <c r="D133" s="1">
        <f t="shared" si="8"/>
        <v>28.289875031074374</v>
      </c>
      <c r="E133" s="1">
        <f t="shared" si="9"/>
        <v>1.7280399333685637E-10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6" sqref="V6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T21" sqref="T21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560568.53735999996</v>
      </c>
      <c r="H7" s="94">
        <f>'Profit and Loss Statement'!F21/'Profit and Loss Statement'!F8</f>
        <v>586409.98483199999</v>
      </c>
      <c r="I7" s="94">
        <f>'Profit and Loss Statement'!G21/'Profit and Loss Statement'!G8</f>
        <v>612612.12175679987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560568.53735999996</v>
      </c>
      <c r="H11" s="114">
        <f t="shared" ref="H11:K11" si="0">H7</f>
        <v>586409.98483199999</v>
      </c>
      <c r="I11" s="114">
        <f t="shared" si="0"/>
        <v>612612.12175679987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U13" sqref="U13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8"/>
      <c r="J8" s="128"/>
    </row>
    <row r="9" spans="5:10">
      <c r="E9" s="103" t="s">
        <v>12</v>
      </c>
      <c r="F9" s="104">
        <f>'Profit and Loss Statement'!E8</f>
        <v>0.83333333333333337</v>
      </c>
      <c r="G9" s="104">
        <f>'Profit and Loss Statement'!F8</f>
        <v>0.83333333333333337</v>
      </c>
      <c r="H9" s="101">
        <f>'Profit and Loss Statement'!G8</f>
        <v>0.83333333333333337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0.14497982809628815</v>
      </c>
      <c r="G12" s="101">
        <f>'Profit and Loss Statement'!F28/'Profit and Loss Statement'!F6</f>
        <v>0.20387143110679148</v>
      </c>
      <c r="H12" s="101">
        <f>'Profit and Loss Statement'!G28/'Profit and Loss Statement'!G6</f>
        <v>0.24096586033770542</v>
      </c>
      <c r="I12" s="128"/>
      <c r="J12" s="128"/>
    </row>
    <row r="13" spans="5:10">
      <c r="E13" s="66" t="s">
        <v>92</v>
      </c>
      <c r="F13" s="105">
        <f>'Balance Sheet'!E10/'Balance Sheet'!E15</f>
        <v>1.2637694400348858</v>
      </c>
      <c r="G13" s="105">
        <f>'Balance Sheet'!F10/'Balance Sheet'!F15</f>
        <v>1.4666878904723109</v>
      </c>
      <c r="H13" s="105">
        <f>'Balance Sheet'!G10/'Balance Sheet'!G15</f>
        <v>1.7921101695238428</v>
      </c>
      <c r="I13" s="129"/>
      <c r="J13" s="129"/>
    </row>
    <row r="14" spans="5:10">
      <c r="E14" s="66" t="s">
        <v>93</v>
      </c>
      <c r="F14" s="105">
        <f>'Balance Sheet'!E17/'Balance Sheet'!E15</f>
        <v>0.26376944003488567</v>
      </c>
      <c r="G14" s="105">
        <f>'Balance Sheet'!F17/'Balance Sheet'!F15</f>
        <v>0.46668789047231085</v>
      </c>
      <c r="H14" s="105">
        <f>'Balance Sheet'!G17/'Balance Sheet'!G15</f>
        <v>0.79211016952384283</v>
      </c>
      <c r="I14" s="129"/>
      <c r="J14" s="129"/>
    </row>
    <row r="15" spans="5:10">
      <c r="E15" s="66" t="s">
        <v>94</v>
      </c>
      <c r="F15" s="105">
        <f>'Balance Sheet'!E10/'Balance Sheet'!E17</f>
        <v>4.7911897597680069</v>
      </c>
      <c r="G15" s="105">
        <f>'Balance Sheet'!F10/'Balance Sheet'!F17</f>
        <v>3.1427596910388038</v>
      </c>
      <c r="H15" s="105">
        <f>'Balance Sheet'!G10/'Balance Sheet'!G17</f>
        <v>2.262450652036351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0.6512446379320912</v>
      </c>
      <c r="G18" s="105">
        <f>'Balance Sheet'!F7/'Balance Sheet'!F10</f>
        <v>0.69004606614665431</v>
      </c>
      <c r="H18" s="105">
        <f>'Balance Sheet'!G7/'Balance Sheet'!G10</f>
        <v>0.72728568364398449</v>
      </c>
      <c r="I18" s="129"/>
      <c r="J18" s="129"/>
    </row>
    <row r="19" spans="5:10">
      <c r="E19" s="66" t="s">
        <v>96</v>
      </c>
      <c r="F19" s="105">
        <f>'Balance Sheet'!E7/'Balance Sheet'!E15</f>
        <v>0.82302307140516073</v>
      </c>
      <c r="G19" s="105">
        <f>'Balance Sheet'!F7/'Balance Sheet'!F15</f>
        <v>1.0120822090853532</v>
      </c>
      <c r="H19" s="105">
        <f>'Balance Sheet'!G7/'Balance Sheet'!G15</f>
        <v>1.303376069807485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topLeftCell="A3" workbookViewId="0">
      <selection activeCell="C24" sqref="C24:E31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128</v>
      </c>
      <c r="C5" s="14">
        <v>75000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130</v>
      </c>
      <c r="C6" s="14">
        <v>50000</v>
      </c>
      <c r="G6" s="4" t="str">
        <f>B5</f>
        <v>Owner</v>
      </c>
      <c r="H6" s="14">
        <f t="shared" ref="H6:H15" si="0">H18*C5</f>
        <v>75000</v>
      </c>
      <c r="I6" s="14">
        <f t="shared" ref="I6:I15" si="1">D58*I18</f>
        <v>77250</v>
      </c>
      <c r="J6" s="14">
        <f t="shared" ref="J6:J15" si="2">E58*J18</f>
        <v>79567.5</v>
      </c>
      <c r="M6" s="117"/>
      <c r="N6" s="117"/>
    </row>
    <row r="7" spans="2:14">
      <c r="B7" s="4" t="s">
        <v>132</v>
      </c>
      <c r="C7" s="14">
        <v>42500</v>
      </c>
      <c r="G7" s="4" t="str">
        <f>B6</f>
        <v>Operations Manager</v>
      </c>
      <c r="H7" s="14">
        <f t="shared" si="0"/>
        <v>50000</v>
      </c>
      <c r="I7" s="14">
        <f t="shared" si="1"/>
        <v>51500</v>
      </c>
      <c r="J7" s="14">
        <f t="shared" si="2"/>
        <v>53045</v>
      </c>
      <c r="M7" s="117"/>
      <c r="N7" s="117"/>
    </row>
    <row r="8" spans="2:14">
      <c r="B8" s="4" t="s">
        <v>129</v>
      </c>
      <c r="C8" s="14">
        <v>35000</v>
      </c>
      <c r="G8" s="4" t="str">
        <f>B7</f>
        <v>Staff Instructors</v>
      </c>
      <c r="H8" s="14">
        <f t="shared" si="0"/>
        <v>85000</v>
      </c>
      <c r="I8" s="14">
        <f t="shared" si="1"/>
        <v>87550</v>
      </c>
      <c r="J8" s="14">
        <f t="shared" si="2"/>
        <v>90176.5</v>
      </c>
      <c r="M8" s="117"/>
      <c r="N8" s="117"/>
    </row>
    <row r="9" spans="2:14">
      <c r="B9" s="4" t="s">
        <v>127</v>
      </c>
      <c r="C9" s="14">
        <v>40000</v>
      </c>
      <c r="G9" s="4" t="str">
        <f>B8</f>
        <v>Assistants</v>
      </c>
      <c r="H9" s="14">
        <f t="shared" si="0"/>
        <v>35000</v>
      </c>
      <c r="I9" s="14">
        <f t="shared" si="1"/>
        <v>36050</v>
      </c>
      <c r="J9" s="14">
        <f t="shared" si="2"/>
        <v>37131.5</v>
      </c>
      <c r="M9" s="117"/>
      <c r="N9" s="117"/>
    </row>
    <row r="10" spans="2:14">
      <c r="B10" s="4" t="s">
        <v>133</v>
      </c>
      <c r="C10" s="14">
        <v>25000</v>
      </c>
      <c r="G10" s="4" t="str">
        <f>B9</f>
        <v>Administrative Staff</v>
      </c>
      <c r="H10" s="14">
        <f t="shared" si="0"/>
        <v>40000</v>
      </c>
      <c r="I10" s="14">
        <f t="shared" si="1"/>
        <v>41200</v>
      </c>
      <c r="J10" s="14">
        <f t="shared" si="2"/>
        <v>42436</v>
      </c>
      <c r="M10" s="117"/>
      <c r="N10" s="117"/>
    </row>
    <row r="11" spans="2:14">
      <c r="B11" s="4" t="s">
        <v>136</v>
      </c>
      <c r="C11" s="14">
        <v>0</v>
      </c>
      <c r="G11" s="4" t="str">
        <f>B29</f>
        <v>Bookkeeper</v>
      </c>
      <c r="H11" s="14">
        <f t="shared" si="0"/>
        <v>25000</v>
      </c>
      <c r="I11" s="14">
        <f t="shared" si="1"/>
        <v>25750</v>
      </c>
      <c r="J11" s="14">
        <f t="shared" si="2"/>
        <v>26522.5</v>
      </c>
      <c r="M11" s="117"/>
      <c r="N11" s="117"/>
    </row>
    <row r="12" spans="2:14">
      <c r="B12" s="4" t="s">
        <v>137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138</v>
      </c>
      <c r="C13" s="14"/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124</v>
      </c>
      <c r="C14" s="14"/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310000</v>
      </c>
      <c r="I16" s="9">
        <f t="shared" ref="I16:J16" si="3">SUM(I6:I15)</f>
        <v>319300</v>
      </c>
      <c r="J16" s="9">
        <f t="shared" si="3"/>
        <v>328879</v>
      </c>
      <c r="M16" s="118"/>
      <c r="N16" s="118"/>
    </row>
    <row r="17" spans="2:20">
      <c r="M17" s="30"/>
      <c r="N17" s="30"/>
    </row>
    <row r="18" spans="2:20">
      <c r="G18" s="4" t="str">
        <f>G6</f>
        <v>Owner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Operations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Staff Instructors</v>
      </c>
      <c r="H20" s="4">
        <f t="shared" si="4"/>
        <v>2</v>
      </c>
      <c r="I20" s="4">
        <f t="shared" si="5"/>
        <v>2</v>
      </c>
      <c r="J20" s="4">
        <f t="shared" si="6"/>
        <v>2</v>
      </c>
      <c r="M20" s="30"/>
      <c r="N20" s="30"/>
    </row>
    <row r="21" spans="2:20">
      <c r="G21" s="4" t="str">
        <f>G9</f>
        <v>Assistants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Bookkeeper</v>
      </c>
      <c r="H23" s="4">
        <f t="shared" si="4"/>
        <v>1</v>
      </c>
      <c r="I23" s="4">
        <f t="shared" si="5"/>
        <v>1</v>
      </c>
      <c r="J23" s="4">
        <f t="shared" si="6"/>
        <v>1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 t="shared" ref="B24:B29" si="8">B5</f>
        <v>Owner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si="8"/>
        <v>Operations Manager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Staff Instructors</v>
      </c>
      <c r="C26" s="5">
        <v>2</v>
      </c>
      <c r="D26" s="5">
        <v>2</v>
      </c>
      <c r="E26" s="5">
        <v>2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Assistants</v>
      </c>
      <c r="C27" s="5">
        <v>1</v>
      </c>
      <c r="D27" s="5">
        <v>1</v>
      </c>
      <c r="E27" s="5">
        <v>1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Administrative Staff</v>
      </c>
      <c r="C28" s="5">
        <v>1</v>
      </c>
      <c r="D28" s="5">
        <v>1</v>
      </c>
      <c r="E28" s="5">
        <v>1</v>
      </c>
      <c r="F28" s="140"/>
      <c r="G28" s="10" t="s">
        <v>8</v>
      </c>
      <c r="H28" s="10">
        <f>SUM(H18:H27)</f>
        <v>7</v>
      </c>
      <c r="I28" s="10">
        <f t="shared" ref="I28:J28" si="9">SUM(I18:I27)</f>
        <v>7</v>
      </c>
      <c r="J28" s="10">
        <f t="shared" si="9"/>
        <v>7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Bookkeeper</v>
      </c>
      <c r="C29" s="5">
        <v>1</v>
      </c>
      <c r="D29" s="5">
        <v>1</v>
      </c>
      <c r="E29" s="5">
        <v>1</v>
      </c>
      <c r="O29" s="115"/>
      <c r="P29" s="115"/>
      <c r="Q29" s="115"/>
      <c r="R29" s="115"/>
      <c r="S29" s="115"/>
      <c r="T29" s="115"/>
    </row>
    <row r="30" spans="2:20">
      <c r="B30" s="15" t="s">
        <v>121</v>
      </c>
      <c r="C30" s="5"/>
      <c r="D30" s="5"/>
      <c r="E30" s="5"/>
      <c r="L30" s="115"/>
      <c r="M30" s="115"/>
      <c r="O30" s="115"/>
      <c r="P30" s="115"/>
      <c r="Q30" s="115"/>
      <c r="R30" s="115"/>
      <c r="S30" s="115"/>
      <c r="T30" s="115"/>
    </row>
    <row r="31" spans="2:20">
      <c r="B31" s="15" t="s">
        <v>122</v>
      </c>
      <c r="C31" s="5"/>
      <c r="D31" s="5"/>
      <c r="E31" s="5"/>
      <c r="L31" s="112" t="str">
        <f t="shared" ref="L31:L36" si="10">G6</f>
        <v>Owner</v>
      </c>
      <c r="M31" s="113">
        <f t="shared" ref="M31:M36" si="11">J6/$J$16</f>
        <v>0.24193548387096775</v>
      </c>
      <c r="O31" s="115"/>
      <c r="P31" s="115"/>
      <c r="Q31" s="115"/>
      <c r="R31" s="115"/>
      <c r="S31" s="115"/>
      <c r="T31" s="115"/>
    </row>
    <row r="32" spans="2:20">
      <c r="B32" s="15" t="s">
        <v>123</v>
      </c>
      <c r="C32" s="5"/>
      <c r="D32" s="5"/>
      <c r="E32" s="5"/>
      <c r="F32" s="30"/>
      <c r="G32" s="30"/>
      <c r="L32" s="112" t="str">
        <f t="shared" si="10"/>
        <v>Operations Manager</v>
      </c>
      <c r="M32" s="113">
        <f t="shared" si="11"/>
        <v>0.16129032258064516</v>
      </c>
      <c r="O32" s="115"/>
      <c r="P32" s="115"/>
      <c r="Q32" s="115"/>
      <c r="T32" s="115"/>
    </row>
    <row r="33" spans="2:20">
      <c r="B33" s="15" t="s">
        <v>124</v>
      </c>
      <c r="C33" s="5"/>
      <c r="D33" s="5"/>
      <c r="E33" s="5"/>
      <c r="F33" s="30"/>
      <c r="G33" s="30"/>
      <c r="L33" s="112" t="str">
        <f t="shared" si="10"/>
        <v>Staff Instructors</v>
      </c>
      <c r="M33" s="113">
        <f t="shared" si="11"/>
        <v>0.27419354838709675</v>
      </c>
      <c r="O33" s="115"/>
      <c r="P33" s="115"/>
      <c r="Q33" s="115"/>
      <c r="T33" s="115"/>
    </row>
    <row r="34" spans="2:20">
      <c r="F34" s="43"/>
      <c r="G34" s="43"/>
      <c r="L34" s="112" t="str">
        <f t="shared" si="10"/>
        <v>Assistants</v>
      </c>
      <c r="M34" s="113">
        <f t="shared" si="11"/>
        <v>0.11290322580645161</v>
      </c>
      <c r="O34" s="115"/>
      <c r="P34" s="115"/>
      <c r="Q34" s="115"/>
      <c r="T34" s="115"/>
    </row>
    <row r="35" spans="2:20">
      <c r="F35" s="43"/>
      <c r="G35" s="43"/>
      <c r="L35" s="112" t="str">
        <f t="shared" si="10"/>
        <v>Administrative Staff</v>
      </c>
      <c r="M35" s="113">
        <f t="shared" si="11"/>
        <v>0.12903225806451613</v>
      </c>
      <c r="O35" s="115"/>
      <c r="P35" s="115"/>
      <c r="Q35" s="115"/>
      <c r="T35" s="115"/>
    </row>
    <row r="36" spans="2:20">
      <c r="F36" s="43"/>
      <c r="G36" s="43"/>
      <c r="L36" s="112" t="str">
        <f t="shared" si="10"/>
        <v>Bookkeeper</v>
      </c>
      <c r="M36" s="113">
        <f t="shared" si="11"/>
        <v>8.0645161290322578E-2</v>
      </c>
      <c r="O36" s="115"/>
      <c r="P36" s="115"/>
      <c r="Q36" s="115"/>
      <c r="T36" s="115"/>
    </row>
    <row r="37" spans="2:20">
      <c r="F37" s="43"/>
      <c r="G37" s="43"/>
      <c r="L37" s="115"/>
      <c r="M37" s="115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Owner</v>
      </c>
      <c r="C58" s="14">
        <f>C5</f>
        <v>75000</v>
      </c>
      <c r="D58" s="14">
        <f>C58*(1+$C$53)</f>
        <v>77250</v>
      </c>
      <c r="E58" s="14">
        <f>D58*(1+$C$53)</f>
        <v>79567.5</v>
      </c>
      <c r="F58" s="14">
        <f>E58*(1+$C$53)</f>
        <v>81954.525000000009</v>
      </c>
      <c r="G58" s="14">
        <f>F58*(1+$C$53)</f>
        <v>84413.16075000001</v>
      </c>
    </row>
    <row r="59" spans="2:7">
      <c r="B59" s="4" t="str">
        <f t="shared" ref="B59:C67" si="12">B6</f>
        <v>Operations Manager</v>
      </c>
      <c r="C59" s="14">
        <f t="shared" si="12"/>
        <v>50000</v>
      </c>
      <c r="D59" s="14">
        <f t="shared" ref="D59:G59" si="13">C59*(1+$C$53)</f>
        <v>51500</v>
      </c>
      <c r="E59" s="14">
        <f t="shared" si="13"/>
        <v>53045</v>
      </c>
      <c r="F59" s="14">
        <f t="shared" si="13"/>
        <v>54636.35</v>
      </c>
      <c r="G59" s="14">
        <f t="shared" si="13"/>
        <v>56275.440499999997</v>
      </c>
    </row>
    <row r="60" spans="2:7">
      <c r="B60" s="4" t="str">
        <f t="shared" si="12"/>
        <v>Staff Instructors</v>
      </c>
      <c r="C60" s="14">
        <f t="shared" si="12"/>
        <v>42500</v>
      </c>
      <c r="D60" s="14">
        <f t="shared" ref="D60:G60" si="14">C60*(1+$C$53)</f>
        <v>43775</v>
      </c>
      <c r="E60" s="14">
        <f t="shared" si="14"/>
        <v>45088.25</v>
      </c>
      <c r="F60" s="14">
        <f t="shared" si="14"/>
        <v>46440.897499999999</v>
      </c>
      <c r="G60" s="14">
        <f t="shared" si="14"/>
        <v>47834.124425000002</v>
      </c>
    </row>
    <row r="61" spans="2:7">
      <c r="B61" s="4" t="str">
        <f t="shared" si="12"/>
        <v>Assistants</v>
      </c>
      <c r="C61" s="14">
        <f t="shared" si="12"/>
        <v>35000</v>
      </c>
      <c r="D61" s="14">
        <f t="shared" ref="D61:G61" si="15">C61*(1+$C$53)</f>
        <v>36050</v>
      </c>
      <c r="E61" s="14">
        <f t="shared" si="15"/>
        <v>37131.5</v>
      </c>
      <c r="F61" s="14">
        <f t="shared" si="15"/>
        <v>38245.445</v>
      </c>
      <c r="G61" s="14">
        <f t="shared" si="15"/>
        <v>39392.808349999999</v>
      </c>
    </row>
    <row r="62" spans="2:7">
      <c r="B62" s="4" t="str">
        <f t="shared" si="12"/>
        <v>Administrative Staff</v>
      </c>
      <c r="C62" s="14">
        <f t="shared" si="12"/>
        <v>40000</v>
      </c>
      <c r="D62" s="14">
        <f t="shared" ref="D62:G62" si="16">C62*(1+$C$53)</f>
        <v>41200</v>
      </c>
      <c r="E62" s="14">
        <f t="shared" si="16"/>
        <v>42436</v>
      </c>
      <c r="F62" s="14">
        <f t="shared" si="16"/>
        <v>43709.08</v>
      </c>
      <c r="G62" s="14">
        <f t="shared" si="16"/>
        <v>45020.352400000003</v>
      </c>
    </row>
    <row r="63" spans="2:7">
      <c r="B63" s="4" t="str">
        <f t="shared" si="12"/>
        <v>Bookkeeper</v>
      </c>
      <c r="C63" s="14">
        <f t="shared" si="12"/>
        <v>25000</v>
      </c>
      <c r="D63" s="14">
        <f t="shared" ref="D63:G63" si="17">C63*(1+$C$53)</f>
        <v>25750</v>
      </c>
      <c r="E63" s="14">
        <f t="shared" si="17"/>
        <v>26522.5</v>
      </c>
      <c r="F63" s="14">
        <f t="shared" si="17"/>
        <v>27318.174999999999</v>
      </c>
      <c r="G63" s="14">
        <f t="shared" si="17"/>
        <v>28137.720249999998</v>
      </c>
    </row>
    <row r="64" spans="2:7">
      <c r="B64" s="4" t="str">
        <f t="shared" si="12"/>
        <v>Postion 7</v>
      </c>
      <c r="C64" s="14">
        <f t="shared" si="12"/>
        <v>0</v>
      </c>
      <c r="D64" s="14">
        <f t="shared" ref="D64:G64" si="18">C64*(1+$C$53)</f>
        <v>0</v>
      </c>
      <c r="E64" s="14">
        <f t="shared" si="18"/>
        <v>0</v>
      </c>
      <c r="F64" s="14">
        <f t="shared" si="18"/>
        <v>0</v>
      </c>
      <c r="G64" s="14">
        <f t="shared" si="18"/>
        <v>0</v>
      </c>
    </row>
    <row r="65" spans="2:7">
      <c r="B65" s="4" t="str">
        <f t="shared" si="12"/>
        <v>Postion 8</v>
      </c>
      <c r="C65" s="14">
        <f t="shared" si="12"/>
        <v>0</v>
      </c>
      <c r="D65" s="14">
        <f t="shared" ref="D65:G65" si="19">C65*(1+$C$53)</f>
        <v>0</v>
      </c>
      <c r="E65" s="14">
        <f t="shared" si="19"/>
        <v>0</v>
      </c>
      <c r="F65" s="14">
        <f t="shared" si="19"/>
        <v>0</v>
      </c>
      <c r="G65" s="14">
        <f t="shared" si="19"/>
        <v>0</v>
      </c>
    </row>
    <row r="66" spans="2:7">
      <c r="B66" s="4" t="str">
        <f t="shared" si="12"/>
        <v>Postion 9</v>
      </c>
      <c r="C66" s="14">
        <f t="shared" si="12"/>
        <v>0</v>
      </c>
      <c r="D66" s="14">
        <f t="shared" ref="D66:G66" si="20">C66*(1+$C$53)</f>
        <v>0</v>
      </c>
      <c r="E66" s="14">
        <f t="shared" si="20"/>
        <v>0</v>
      </c>
      <c r="F66" s="14">
        <f t="shared" si="20"/>
        <v>0</v>
      </c>
      <c r="G66" s="14">
        <f t="shared" si="20"/>
        <v>0</v>
      </c>
    </row>
    <row r="67" spans="2:7">
      <c r="B67" s="4" t="str">
        <f t="shared" si="12"/>
        <v>Position 10</v>
      </c>
      <c r="C67" s="14">
        <f t="shared" si="12"/>
        <v>0</v>
      </c>
      <c r="D67" s="14">
        <f t="shared" ref="D67:G67" si="21">C67*(1+$C$53)</f>
        <v>0</v>
      </c>
      <c r="E67" s="14">
        <f t="shared" si="21"/>
        <v>0</v>
      </c>
      <c r="F67" s="14">
        <f t="shared" si="21"/>
        <v>0</v>
      </c>
      <c r="G67" s="14">
        <f t="shared" si="21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N22" sqref="N22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5"/>
      <c r="J5" s="108"/>
      <c r="K5" s="109"/>
      <c r="L5" s="109"/>
      <c r="M5" s="109"/>
    </row>
    <row r="6" spans="5:13">
      <c r="E6" s="94" t="str">
        <f>Inputs!B5</f>
        <v>Teaching Services</v>
      </c>
      <c r="F6" s="94">
        <f>SUM(Inputs!C32:N32)</f>
        <v>601320</v>
      </c>
      <c r="G6" s="94">
        <f t="shared" ref="G6:H15" si="0">F6*(1+G$5)</f>
        <v>721584</v>
      </c>
      <c r="H6" s="94">
        <f t="shared" si="0"/>
        <v>829821.6</v>
      </c>
      <c r="I6" s="127"/>
      <c r="J6" s="94" t="str">
        <f>E6</f>
        <v>Teaching Services</v>
      </c>
      <c r="K6" s="143">
        <f>F6/$F$16</f>
        <v>0.7407407407407407</v>
      </c>
      <c r="L6" s="143">
        <f>G6/$G$16</f>
        <v>0.7407407407407407</v>
      </c>
      <c r="M6" s="143">
        <f>H6/$H$16</f>
        <v>0.74074074074074081</v>
      </c>
    </row>
    <row r="7" spans="5:13">
      <c r="E7" s="94" t="str">
        <f>Inputs!B6</f>
        <v>Beauty Sservices</v>
      </c>
      <c r="F7" s="94">
        <f>SUM(Inputs!C33:N33)</f>
        <v>210462</v>
      </c>
      <c r="G7" s="94">
        <f t="shared" si="0"/>
        <v>252554.4</v>
      </c>
      <c r="H7" s="94">
        <f t="shared" si="0"/>
        <v>290437.56</v>
      </c>
      <c r="I7" s="127"/>
      <c r="J7" s="94" t="str">
        <f t="shared" ref="J7:J15" si="1">E7</f>
        <v>Beauty Sservices</v>
      </c>
      <c r="K7" s="143">
        <f t="shared" ref="K7:K15" si="2">F7/$F$16</f>
        <v>0.25925925925925924</v>
      </c>
      <c r="L7" s="143">
        <f t="shared" ref="L7:L15" si="3">G7/$G$16</f>
        <v>0.25925925925925924</v>
      </c>
      <c r="M7" s="143">
        <f t="shared" ref="M7:M15" si="4">H7/$H$16</f>
        <v>0.2592592592592593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811782</v>
      </c>
      <c r="G16" s="99">
        <f>SUM(G6:G15)</f>
        <v>974138.4</v>
      </c>
      <c r="H16" s="99">
        <f>SUM(H6:H15)</f>
        <v>1120259.1599999999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5"/>
      <c r="K20" s="125"/>
      <c r="L20" s="125"/>
      <c r="M20" s="125"/>
    </row>
    <row r="21" spans="5:13">
      <c r="E21" s="94" t="str">
        <f>E6</f>
        <v>Teaching Services</v>
      </c>
      <c r="F21" s="94">
        <f>SUM(Inputs!C51:N51)</f>
        <v>30066</v>
      </c>
      <c r="G21" s="94">
        <f t="shared" ref="G21:H30" si="5">F21*(1+G$20)</f>
        <v>36079.199999999997</v>
      </c>
      <c r="H21" s="94">
        <f t="shared" si="5"/>
        <v>41491.079999999994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Beauty Sservices</v>
      </c>
      <c r="F22" s="94">
        <f>SUM(Inputs!C52:N52)</f>
        <v>105231</v>
      </c>
      <c r="G22" s="94">
        <f t="shared" si="5"/>
        <v>126277.2</v>
      </c>
      <c r="H22" s="94">
        <f t="shared" si="5"/>
        <v>145218.78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135297</v>
      </c>
      <c r="G31" s="100">
        <f>SUM(G21:G30)</f>
        <v>162356.4</v>
      </c>
      <c r="H31" s="100">
        <f>SUM(H21:H30)</f>
        <v>186709.86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L51"/>
  <sheetViews>
    <sheetView showGridLines="0" topLeftCell="C1" workbookViewId="0">
      <selection activeCell="D20" sqref="D20:E24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116</v>
      </c>
      <c r="E6" s="6">
        <v>140000</v>
      </c>
    </row>
    <row r="7" spans="4:5">
      <c r="D7" s="21" t="s">
        <v>117</v>
      </c>
      <c r="E7" s="6">
        <v>50000</v>
      </c>
    </row>
    <row r="8" spans="4:5">
      <c r="D8" s="21" t="s">
        <v>115</v>
      </c>
      <c r="E8" s="6">
        <v>35000</v>
      </c>
    </row>
    <row r="9" spans="4:5">
      <c r="D9" s="21" t="s">
        <v>0</v>
      </c>
      <c r="E9" s="6">
        <v>125000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350000</v>
      </c>
    </row>
    <row r="20" spans="4:5">
      <c r="D20" s="7" t="s">
        <v>97</v>
      </c>
      <c r="E20" s="3"/>
    </row>
    <row r="21" spans="4:5">
      <c r="D21" s="4" t="s">
        <v>98</v>
      </c>
      <c r="E21" s="14">
        <v>50000</v>
      </c>
    </row>
    <row r="22" spans="4:5">
      <c r="D22" s="4" t="s">
        <v>99</v>
      </c>
      <c r="E22" s="14">
        <v>300000</v>
      </c>
    </row>
    <row r="23" spans="4:5">
      <c r="D23" s="4" t="s">
        <v>100</v>
      </c>
      <c r="E23" s="14">
        <f>SUM(E21:E22)</f>
        <v>350000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12">
      <c r="D33" s="120"/>
      <c r="E33" s="1"/>
    </row>
    <row r="34" spans="4:12">
      <c r="D34" s="120"/>
      <c r="E34" s="1"/>
      <c r="L34" s="112" t="s">
        <v>135</v>
      </c>
    </row>
    <row r="35" spans="4:12">
      <c r="D35" s="120"/>
      <c r="E35" s="1"/>
    </row>
    <row r="36" spans="4:12">
      <c r="D36" s="120"/>
      <c r="E36" s="1"/>
    </row>
    <row r="37" spans="4:12">
      <c r="D37" s="120"/>
      <c r="E37" s="1"/>
    </row>
    <row r="38" spans="4:12">
      <c r="D38" s="121"/>
      <c r="E38" s="122"/>
    </row>
    <row r="40" spans="4:12">
      <c r="D40" s="112"/>
    </row>
    <row r="41" spans="4:12">
      <c r="D41" s="120"/>
      <c r="E41" s="1"/>
    </row>
    <row r="42" spans="4:12">
      <c r="D42" s="120"/>
      <c r="E42" s="1"/>
    </row>
    <row r="43" spans="4:12">
      <c r="D43" s="120"/>
      <c r="E43" s="1"/>
    </row>
    <row r="44" spans="4:12">
      <c r="D44" s="120"/>
      <c r="E44" s="1"/>
    </row>
    <row r="45" spans="4:12">
      <c r="D45" s="120"/>
      <c r="E45" s="1"/>
    </row>
    <row r="46" spans="4:12">
      <c r="D46" s="120"/>
      <c r="E46" s="1"/>
    </row>
    <row r="47" spans="4:12">
      <c r="D47" s="120"/>
      <c r="E47" s="1"/>
    </row>
    <row r="48" spans="4:12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S38" sqref="S38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811782</v>
      </c>
      <c r="F6" s="69">
        <f>'Revenue Overview'!G16</f>
        <v>974138.4</v>
      </c>
      <c r="G6" s="81">
        <f>'Revenue Overview'!H16</f>
        <v>1120259.1599999999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135297</v>
      </c>
      <c r="F7" s="71">
        <f>'Revenue Overview'!G31</f>
        <v>162356.4</v>
      </c>
      <c r="G7" s="80">
        <f>'Revenue Overview'!H31</f>
        <v>186709.86</v>
      </c>
      <c r="H7" s="136"/>
      <c r="I7" s="136"/>
      <c r="J7" s="115"/>
      <c r="K7" s="112" t="s">
        <v>51</v>
      </c>
      <c r="L7" s="114">
        <f>E6</f>
        <v>811782</v>
      </c>
      <c r="M7" s="114">
        <f>F6</f>
        <v>974138.4</v>
      </c>
      <c r="N7" s="114">
        <f>G6</f>
        <v>1120259.1599999999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0.83333333333333337</v>
      </c>
      <c r="F8" s="73">
        <f t="shared" ref="F8:G8" si="0">1-(F7/F6)</f>
        <v>0.83333333333333337</v>
      </c>
      <c r="G8" s="133">
        <f t="shared" si="0"/>
        <v>0.83333333333333337</v>
      </c>
      <c r="H8" s="138"/>
      <c r="I8" s="138"/>
      <c r="J8" s="115"/>
      <c r="K8" s="112" t="s">
        <v>76</v>
      </c>
      <c r="L8" s="114">
        <f>E6</f>
        <v>811782</v>
      </c>
      <c r="M8" s="114">
        <f>F6</f>
        <v>974138.4</v>
      </c>
      <c r="N8" s="114">
        <f>G6</f>
        <v>1120259.1599999999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676485</v>
      </c>
      <c r="F10" s="76">
        <f t="shared" ref="F10:G10" si="1">F6-F7</f>
        <v>811782</v>
      </c>
      <c r="G10" s="84">
        <f t="shared" si="1"/>
        <v>933549.29999999993</v>
      </c>
      <c r="H10" s="135"/>
      <c r="I10" s="135"/>
      <c r="J10" s="115"/>
      <c r="K10" s="112" t="s">
        <v>47</v>
      </c>
      <c r="L10" s="114">
        <f>E23</f>
        <v>209344.55219999998</v>
      </c>
      <c r="M10" s="114">
        <f>F23</f>
        <v>323107.01263999997</v>
      </c>
      <c r="N10" s="114">
        <f>G23</f>
        <v>423039.19853599998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209344.55219999998</v>
      </c>
      <c r="M11" s="114">
        <f t="shared" ref="M11:N11" si="2">M10</f>
        <v>323107.01263999997</v>
      </c>
      <c r="N11" s="114">
        <f t="shared" si="2"/>
        <v>423039.19853599998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310000</v>
      </c>
      <c r="F13" s="78">
        <f>'Personnel - Editable'!I16</f>
        <v>319300</v>
      </c>
      <c r="G13" s="78">
        <f>'Personnel - Editable'!J16</f>
        <v>328879</v>
      </c>
      <c r="H13" s="136"/>
      <c r="I13" s="136"/>
      <c r="J13" s="115"/>
      <c r="K13" s="112" t="s">
        <v>75</v>
      </c>
      <c r="L13" s="114">
        <f>E21</f>
        <v>467140.44780000002</v>
      </c>
      <c r="M13" s="114">
        <f>F21</f>
        <v>488674.98736000003</v>
      </c>
      <c r="N13" s="114">
        <f>G21</f>
        <v>510510.10146399995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75000</v>
      </c>
      <c r="F14" s="80">
        <f>Inputs!D18</f>
        <v>77250</v>
      </c>
      <c r="G14" s="80">
        <f>Inputs!E18</f>
        <v>79567.5</v>
      </c>
      <c r="H14" s="136"/>
      <c r="I14" s="136"/>
      <c r="J14" s="115"/>
      <c r="K14" s="112" t="s">
        <v>78</v>
      </c>
      <c r="L14" s="114">
        <f>E21</f>
        <v>467140.44780000002</v>
      </c>
      <c r="M14" s="114">
        <f>F21</f>
        <v>488674.98736000003</v>
      </c>
      <c r="N14" s="114">
        <f>G21</f>
        <v>510510.10146399995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12744.9774</v>
      </c>
      <c r="F15" s="78">
        <f>Inputs!D19</f>
        <v>15293.972879999999</v>
      </c>
      <c r="G15" s="78">
        <f>Inputs!E19</f>
        <v>17588.068811999998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12339.0864</v>
      </c>
      <c r="F16" s="80">
        <f>Inputs!D20</f>
        <v>14806.903679999999</v>
      </c>
      <c r="G16" s="80">
        <f>Inputs!E20</f>
        <v>17027.939231999997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18600</v>
      </c>
      <c r="F17" s="78">
        <f>Inputs!D21</f>
        <v>19158</v>
      </c>
      <c r="G17" s="78">
        <f>Inputs!E21</f>
        <v>19732.739999999998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9741.384</v>
      </c>
      <c r="F18" s="80">
        <f>Inputs!D22</f>
        <v>11689.6608</v>
      </c>
      <c r="G18" s="80">
        <f>Inputs!E22</f>
        <v>13443.109919999999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23715</v>
      </c>
      <c r="F20" s="80">
        <f>F13*'Tax Assumptions '!G9</f>
        <v>24426.45</v>
      </c>
      <c r="G20" s="80">
        <f>G13*'Tax Assumptions '!H9</f>
        <v>25159.2435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467140.44780000002</v>
      </c>
      <c r="F21" s="81">
        <f t="shared" ref="F21:G21" si="3">SUM(F13:F20)</f>
        <v>488674.98736000003</v>
      </c>
      <c r="G21" s="81">
        <f t="shared" si="3"/>
        <v>510510.10146399995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209344.55219999998</v>
      </c>
      <c r="F23" s="83">
        <f t="shared" ref="F23:G23" si="4">F10-F21</f>
        <v>323107.01263999997</v>
      </c>
      <c r="G23" s="83">
        <f t="shared" si="4"/>
        <v>423039.19853599998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42032.862432736067</v>
      </c>
      <c r="F24" s="78">
        <f>(F23-F26-F27)*'Tax Assumptions '!G7</f>
        <v>70928.210608600042</v>
      </c>
      <c r="G24" s="78">
        <f>(G23-G26-G27)*'Tax Assumptions '!H7</f>
        <v>96408.647246641136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8406.572486547213</v>
      </c>
      <c r="F25" s="80">
        <f>(F23-F26-F27)*'Tax Assumptions '!G8</f>
        <v>14185.64212172001</v>
      </c>
      <c r="G25" s="80">
        <f>(G23-G26-G27)*'Tax Assumptions '!H8</f>
        <v>19281.729449328228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26213.10246905571</v>
      </c>
      <c r="F26" s="78">
        <f>SUM('Loan Amortization Table'!D26:D37)</f>
        <v>24394.170205599807</v>
      </c>
      <c r="G26" s="78">
        <f>SUM('Loan Amortization Table'!D38:D49)</f>
        <v>22404.609549435441</v>
      </c>
      <c r="H26" s="127"/>
      <c r="I26" s="127"/>
    </row>
    <row r="27" spans="4:21">
      <c r="D27" s="70" t="s">
        <v>54</v>
      </c>
      <c r="E27" s="80">
        <v>15000</v>
      </c>
      <c r="F27" s="80">
        <v>15000</v>
      </c>
      <c r="G27" s="80">
        <v>15000</v>
      </c>
      <c r="H27" s="127"/>
      <c r="I27" s="127"/>
    </row>
    <row r="28" spans="4:21">
      <c r="D28" s="82" t="s">
        <v>17</v>
      </c>
      <c r="E28" s="83">
        <f>E23-SUM(E24:E27)</f>
        <v>117692.01481166098</v>
      </c>
      <c r="F28" s="83">
        <f t="shared" ref="F28:G28" si="5">F23-SUM(F24:F27)</f>
        <v>198598.9897040801</v>
      </c>
      <c r="G28" s="83">
        <f t="shared" si="5"/>
        <v>269944.21229059517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811782</v>
      </c>
      <c r="F32" s="69">
        <f t="shared" ref="F32:G32" si="6">F6</f>
        <v>974138.4</v>
      </c>
      <c r="G32" s="81">
        <f t="shared" si="6"/>
        <v>1120259.1599999999</v>
      </c>
      <c r="H32" s="131"/>
      <c r="I32" s="131"/>
    </row>
    <row r="33" spans="4:13">
      <c r="D33" s="70" t="s">
        <v>52</v>
      </c>
      <c r="E33" s="71">
        <f>E7</f>
        <v>135297</v>
      </c>
      <c r="F33" s="71">
        <f t="shared" ref="F33:G33" si="7">F7</f>
        <v>162356.4</v>
      </c>
      <c r="G33" s="80">
        <f t="shared" si="7"/>
        <v>186709.86</v>
      </c>
      <c r="H33" s="127"/>
      <c r="I33" s="127"/>
    </row>
    <row r="34" spans="4:13">
      <c r="D34" s="68" t="s">
        <v>10</v>
      </c>
      <c r="E34" s="69">
        <f>E10</f>
        <v>676485</v>
      </c>
      <c r="F34" s="69">
        <f t="shared" ref="F34:G34" si="8">F10</f>
        <v>811782</v>
      </c>
      <c r="G34" s="81">
        <f t="shared" si="8"/>
        <v>933549.29999999993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467140.44780000002</v>
      </c>
      <c r="F35" s="84">
        <f t="shared" ref="F35:G35" si="9">F21</f>
        <v>488674.98736000003</v>
      </c>
      <c r="G35" s="84">
        <f t="shared" si="9"/>
        <v>510510.10146399995</v>
      </c>
      <c r="H35" s="131"/>
      <c r="I35" s="131"/>
    </row>
    <row r="36" spans="4:13">
      <c r="D36" s="82" t="s">
        <v>47</v>
      </c>
      <c r="E36" s="83">
        <f>E23</f>
        <v>209344.55219999998</v>
      </c>
      <c r="F36" s="83">
        <f t="shared" ref="F36:G36" si="10">F23</f>
        <v>323107.01263999997</v>
      </c>
      <c r="G36" s="83">
        <f t="shared" si="10"/>
        <v>423039.19853599998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T12" sqref="T12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132692.01481166098</v>
      </c>
      <c r="F6" s="81">
        <f>'Profit and Loss Statement'!F28+'Profit and Loss Statement'!F27</f>
        <v>213598.9897040801</v>
      </c>
      <c r="G6" s="81">
        <f>'Profit and Loss Statement'!G28+'Profit and Loss Statement'!G27</f>
        <v>284944.21229059517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50000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300000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7"/>
      <c r="I11" s="127"/>
    </row>
    <row r="12" spans="4:9">
      <c r="D12" s="75" t="s">
        <v>23</v>
      </c>
      <c r="E12" s="89">
        <f>SUM(E9:E11)</f>
        <v>360000</v>
      </c>
      <c r="F12" s="89">
        <f t="shared" ref="F12:G12" si="0">SUM(F9:F11)</f>
        <v>10200</v>
      </c>
      <c r="G12" s="89">
        <f t="shared" si="0"/>
        <v>10404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492692.01481166098</v>
      </c>
      <c r="F15" s="90">
        <f t="shared" ref="F15:G15" si="1">F12+F6</f>
        <v>223798.9897040801</v>
      </c>
      <c r="G15" s="90">
        <f t="shared" si="1"/>
        <v>295348.21229059517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19390.1760810341</v>
      </c>
      <c r="F18" s="80">
        <f>SUM('Loan Amortization Table'!C26:C37)</f>
        <v>21209.108344490007</v>
      </c>
      <c r="G18" s="80">
        <f>SUM('Loan Amortization Table'!C38:C49)</f>
        <v>23198.669000654372</v>
      </c>
      <c r="H18" s="127"/>
      <c r="I18" s="127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7"/>
      <c r="I19" s="127"/>
    </row>
    <row r="20" spans="4:9">
      <c r="D20" s="70" t="s">
        <v>33</v>
      </c>
      <c r="E20" s="80">
        <f>'Use of Funds'!$E$6</f>
        <v>140000</v>
      </c>
      <c r="F20" s="80">
        <f>F6*0.05</f>
        <v>10679.949485204006</v>
      </c>
      <c r="G20" s="80">
        <f>G6*0.05</f>
        <v>14247.210614529758</v>
      </c>
      <c r="H20" s="127"/>
      <c r="I20" s="127"/>
    </row>
    <row r="21" spans="4:9">
      <c r="D21" s="72" t="s">
        <v>32</v>
      </c>
      <c r="E21" s="78">
        <f>E6*0.7</f>
        <v>92884.410368162673</v>
      </c>
      <c r="F21" s="78">
        <f t="shared" ref="F21:G21" si="3">F6*0.7</f>
        <v>149519.29279285605</v>
      </c>
      <c r="G21" s="78">
        <f t="shared" si="3"/>
        <v>199460.94860341662</v>
      </c>
      <c r="H21" s="127"/>
      <c r="I21" s="127"/>
    </row>
    <row r="22" spans="4:9">
      <c r="D22" s="75" t="s">
        <v>26</v>
      </c>
      <c r="E22" s="84">
        <f>SUM(E18:E21)</f>
        <v>259274.58644919677</v>
      </c>
      <c r="F22" s="84">
        <f t="shared" ref="F22:G22" si="4">SUM(F18:F21)</f>
        <v>188548.35062255006</v>
      </c>
      <c r="G22" s="84">
        <f t="shared" si="4"/>
        <v>244189.62821860076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233417.42836246421</v>
      </c>
      <c r="F24" s="91">
        <f t="shared" ref="F24:G24" si="5">F15-F22</f>
        <v>35250.63908153004</v>
      </c>
      <c r="G24" s="91">
        <f t="shared" si="5"/>
        <v>51158.58407199441</v>
      </c>
      <c r="H24" s="132"/>
      <c r="I24" s="132"/>
    </row>
    <row r="25" spans="4:9">
      <c r="D25" s="82" t="s">
        <v>6</v>
      </c>
      <c r="E25" s="91">
        <f>E24</f>
        <v>233417.42836246421</v>
      </c>
      <c r="F25" s="91">
        <f>E25+F24</f>
        <v>268668.06744399422</v>
      </c>
      <c r="G25" s="91">
        <f>F25+G24</f>
        <v>319826.65151598863</v>
      </c>
      <c r="H25" s="132"/>
      <c r="I25" s="132"/>
    </row>
    <row r="28" spans="4:9">
      <c r="D28" s="112" t="s">
        <v>79</v>
      </c>
      <c r="E28" s="114">
        <f>E6</f>
        <v>132692.01481166098</v>
      </c>
      <c r="F28" s="114">
        <f t="shared" ref="F28:G28" si="6">F6</f>
        <v>213598.9897040801</v>
      </c>
      <c r="G28" s="114">
        <f t="shared" si="6"/>
        <v>284944.21229059517</v>
      </c>
      <c r="H28" s="1"/>
      <c r="I28" s="1"/>
    </row>
    <row r="29" spans="4:9">
      <c r="D29" s="112" t="s">
        <v>80</v>
      </c>
      <c r="E29" s="114">
        <f>E18</f>
        <v>19390.1760810341</v>
      </c>
      <c r="F29" s="114">
        <f t="shared" ref="F29:G29" si="7">F18</f>
        <v>21209.108344490007</v>
      </c>
      <c r="G29" s="114">
        <f t="shared" si="7"/>
        <v>23198.669000654372</v>
      </c>
      <c r="H29" s="1"/>
      <c r="I29" s="1"/>
    </row>
    <row r="30" spans="4:9">
      <c r="D30" s="112" t="s">
        <v>81</v>
      </c>
      <c r="E30" s="114">
        <f>E21</f>
        <v>92884.410368162673</v>
      </c>
      <c r="F30" s="114">
        <f t="shared" ref="F30:G30" si="8">F21</f>
        <v>149519.29279285605</v>
      </c>
      <c r="G30" s="114">
        <f t="shared" si="8"/>
        <v>199460.94860341662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T15" sqref="T15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233417.42836246421</v>
      </c>
      <c r="F7" s="78">
        <f>'Cash Flow Analysis'!F25</f>
        <v>268668.06744399422</v>
      </c>
      <c r="G7" s="78">
        <f>'Cash Flow Analysis'!G25</f>
        <v>319826.65151598863</v>
      </c>
      <c r="H7" s="127"/>
      <c r="I7" s="127"/>
    </row>
    <row r="8" spans="4:9">
      <c r="D8" s="66" t="s">
        <v>125</v>
      </c>
      <c r="E8" s="94">
        <f>'Cash Flow Analysis'!E20</f>
        <v>140000</v>
      </c>
      <c r="F8" s="94">
        <f>E8+'Cash Flow Analysis'!F20</f>
        <v>150679.94948520401</v>
      </c>
      <c r="G8" s="94">
        <f>F8+'Cash Flow Analysis'!G20</f>
        <v>164927.16009973377</v>
      </c>
      <c r="H8" s="127"/>
      <c r="I8" s="127"/>
    </row>
    <row r="9" spans="4:9">
      <c r="D9" s="72" t="s">
        <v>48</v>
      </c>
      <c r="E9" s="87">
        <f>-'Profit and Loss Statement'!E27</f>
        <v>-15000</v>
      </c>
      <c r="F9" s="87">
        <f>E9-'Profit and Loss Statement'!F27</f>
        <v>-30000</v>
      </c>
      <c r="G9" s="87">
        <f>F9-'Profit and Loss Statement'!G27</f>
        <v>-45000</v>
      </c>
      <c r="H9" s="130"/>
      <c r="I9" s="130"/>
    </row>
    <row r="10" spans="4:9">
      <c r="D10" s="95" t="s">
        <v>7</v>
      </c>
      <c r="E10" s="96">
        <f>SUM(E7:E9)</f>
        <v>358417.42836246418</v>
      </c>
      <c r="F10" s="96">
        <f t="shared" ref="F10:G10" si="0">SUM(F7:F9)</f>
        <v>389348.01692919823</v>
      </c>
      <c r="G10" s="96">
        <f t="shared" si="0"/>
        <v>439753.81161572237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7"/>
      <c r="I13" s="127"/>
    </row>
    <row r="14" spans="4:9">
      <c r="D14" s="66" t="s">
        <v>73</v>
      </c>
      <c r="E14" s="94">
        <f>'Loan Amortization Table'!E25</f>
        <v>280609.82391896599</v>
      </c>
      <c r="F14" s="94">
        <f>'Loan Amortization Table'!E37</f>
        <v>259400.71557447597</v>
      </c>
      <c r="G14" s="94">
        <f>'Loan Amortization Table'!E49</f>
        <v>236202.0465738216</v>
      </c>
      <c r="H14" s="127"/>
      <c r="I14" s="127"/>
    </row>
    <row r="15" spans="4:9">
      <c r="D15" s="68" t="s">
        <v>30</v>
      </c>
      <c r="E15" s="81">
        <f>SUM(E13:E14)</f>
        <v>283609.82391896599</v>
      </c>
      <c r="F15" s="81">
        <f t="shared" ref="F15:G15" si="1">SUM(F13:F14)</f>
        <v>265460.71557447594</v>
      </c>
      <c r="G15" s="81">
        <f t="shared" si="1"/>
        <v>245383.24657382161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74807.604443498189</v>
      </c>
      <c r="F17" s="83">
        <f t="shared" ref="F17:G17" si="2">F10-F15</f>
        <v>123887.30135472229</v>
      </c>
      <c r="G17" s="83">
        <f t="shared" si="2"/>
        <v>194370.56504190076</v>
      </c>
      <c r="H17" s="131"/>
      <c r="I17" s="131"/>
    </row>
    <row r="18" spans="4:9">
      <c r="D18" s="82" t="s">
        <v>31</v>
      </c>
      <c r="E18" s="83">
        <f>E15+E17</f>
        <v>358417.42836246418</v>
      </c>
      <c r="F18" s="83">
        <f t="shared" ref="F18:G18" si="3">F15+F17</f>
        <v>389348.01692919823</v>
      </c>
      <c r="G18" s="83">
        <f t="shared" si="3"/>
        <v>439753.81161572237</v>
      </c>
      <c r="H18" s="131"/>
      <c r="I18" s="131"/>
    </row>
    <row r="21" spans="4:9">
      <c r="D21" s="112" t="s">
        <v>82</v>
      </c>
      <c r="E21" s="114">
        <f>E10-1</f>
        <v>358416.42836246418</v>
      </c>
      <c r="F21" s="114">
        <f t="shared" ref="F21:G21" si="4">F10-1</f>
        <v>389347.01692919823</v>
      </c>
      <c r="G21" s="114">
        <f t="shared" si="4"/>
        <v>439752.81161572237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283609.82391896599</v>
      </c>
      <c r="F22" s="114">
        <f t="shared" ref="F22:G22" si="6">F15</f>
        <v>265460.71557447594</v>
      </c>
      <c r="G22" s="114">
        <f t="shared" si="6"/>
        <v>245383.24657382161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74807.604443498189</v>
      </c>
      <c r="F23" s="114">
        <f t="shared" ref="F23:G23" si="8">F17</f>
        <v>123887.30135472229</v>
      </c>
      <c r="G23" s="114">
        <f t="shared" si="8"/>
        <v>194370.56504190076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V168"/>
  <sheetViews>
    <sheetView showGridLines="0" workbookViewId="0">
      <selection activeCell="U10" sqref="U9:U10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67500</v>
      </c>
      <c r="D6" s="6">
        <f>Inputs!D42</f>
        <v>67527</v>
      </c>
      <c r="E6" s="6">
        <f>Inputs!E42</f>
        <v>67554</v>
      </c>
      <c r="F6" s="6">
        <f>Inputs!F42</f>
        <v>67581</v>
      </c>
      <c r="G6" s="6">
        <f>Inputs!G42</f>
        <v>67608</v>
      </c>
      <c r="H6" s="6">
        <f>Inputs!H42</f>
        <v>67635</v>
      </c>
      <c r="I6" s="6">
        <f>Inputs!I42</f>
        <v>67662</v>
      </c>
    </row>
    <row r="7" spans="2:9">
      <c r="B7" s="31" t="s">
        <v>52</v>
      </c>
      <c r="C7" s="6">
        <f>Inputs!C61</f>
        <v>11250</v>
      </c>
      <c r="D7" s="6">
        <f>Inputs!D61</f>
        <v>11254.5</v>
      </c>
      <c r="E7" s="6">
        <f>Inputs!E61</f>
        <v>11259</v>
      </c>
      <c r="F7" s="6">
        <f>Inputs!F61</f>
        <v>11263.5</v>
      </c>
      <c r="G7" s="6">
        <f>Inputs!G61</f>
        <v>11268</v>
      </c>
      <c r="H7" s="6">
        <f>Inputs!H61</f>
        <v>11272.5</v>
      </c>
      <c r="I7" s="6">
        <f>Inputs!I61</f>
        <v>11277</v>
      </c>
    </row>
    <row r="8" spans="2:9">
      <c r="B8" s="29" t="s">
        <v>12</v>
      </c>
      <c r="C8" s="17">
        <f>1-(C7/C6)</f>
        <v>0.83333333333333337</v>
      </c>
      <c r="D8" s="17">
        <f t="shared" ref="D8:I8" si="1">1-(D7/D6)</f>
        <v>0.83333333333333337</v>
      </c>
      <c r="E8" s="17">
        <f t="shared" si="1"/>
        <v>0.83333333333333337</v>
      </c>
      <c r="F8" s="17">
        <f t="shared" si="1"/>
        <v>0.83333333333333337</v>
      </c>
      <c r="G8" s="17">
        <f t="shared" si="1"/>
        <v>0.83333333333333337</v>
      </c>
      <c r="H8" s="17">
        <f t="shared" si="1"/>
        <v>0.83333333333333337</v>
      </c>
      <c r="I8" s="17">
        <f t="shared" si="1"/>
        <v>0.83333333333333337</v>
      </c>
    </row>
    <row r="9" spans="2:9">
      <c r="B9" s="30"/>
    </row>
    <row r="10" spans="2:9">
      <c r="B10" s="37" t="s">
        <v>10</v>
      </c>
      <c r="C10" s="6">
        <f>C6-C7</f>
        <v>56250</v>
      </c>
      <c r="D10" s="6">
        <f t="shared" ref="D10:I10" si="2">D6-D7</f>
        <v>56272.5</v>
      </c>
      <c r="E10" s="6">
        <f t="shared" si="2"/>
        <v>56295</v>
      </c>
      <c r="F10" s="6">
        <f t="shared" si="2"/>
        <v>56317.5</v>
      </c>
      <c r="G10" s="6">
        <f t="shared" si="2"/>
        <v>56340</v>
      </c>
      <c r="H10" s="6">
        <f t="shared" si="2"/>
        <v>56362.5</v>
      </c>
      <c r="I10" s="6">
        <f t="shared" si="2"/>
        <v>56385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25833.333333333332</v>
      </c>
      <c r="D13" s="6">
        <f t="shared" ref="D13:I13" si="3">$H$41/12</f>
        <v>25833.333333333332</v>
      </c>
      <c r="E13" s="6">
        <f t="shared" si="3"/>
        <v>25833.333333333332</v>
      </c>
      <c r="F13" s="6">
        <f t="shared" si="3"/>
        <v>25833.333333333332</v>
      </c>
      <c r="G13" s="6">
        <f t="shared" si="3"/>
        <v>25833.333333333332</v>
      </c>
      <c r="H13" s="6">
        <f t="shared" si="3"/>
        <v>25833.333333333332</v>
      </c>
      <c r="I13" s="6">
        <f t="shared" si="3"/>
        <v>25833.333333333332</v>
      </c>
    </row>
    <row r="14" spans="2:9">
      <c r="B14" s="33" t="str">
        <f>'Profit and Loss Statement'!D14</f>
        <v>Facility Costs</v>
      </c>
      <c r="C14" s="6">
        <f>$H$42/12</f>
        <v>6250</v>
      </c>
      <c r="D14" s="6">
        <f t="shared" ref="D14:I14" si="4">$H$42/12</f>
        <v>6250</v>
      </c>
      <c r="E14" s="6">
        <f t="shared" si="4"/>
        <v>6250</v>
      </c>
      <c r="F14" s="6">
        <f t="shared" si="4"/>
        <v>6250</v>
      </c>
      <c r="G14" s="6">
        <f t="shared" si="4"/>
        <v>6250</v>
      </c>
      <c r="H14" s="6">
        <f t="shared" si="4"/>
        <v>6250</v>
      </c>
      <c r="I14" s="6">
        <f t="shared" si="4"/>
        <v>6250</v>
      </c>
    </row>
    <row r="15" spans="2:9">
      <c r="B15" s="33" t="str">
        <f>'Profit and Loss Statement'!D15</f>
        <v>General and Administrative</v>
      </c>
      <c r="C15" s="6">
        <f>$H$43/12</f>
        <v>1062.0814499999999</v>
      </c>
      <c r="D15" s="6">
        <f t="shared" ref="D15:I15" si="5">$H$43/12</f>
        <v>1062.0814499999999</v>
      </c>
      <c r="E15" s="6">
        <f t="shared" si="5"/>
        <v>1062.0814499999999</v>
      </c>
      <c r="F15" s="6">
        <f t="shared" si="5"/>
        <v>1062.0814499999999</v>
      </c>
      <c r="G15" s="6">
        <f t="shared" si="5"/>
        <v>1062.0814499999999</v>
      </c>
      <c r="H15" s="6">
        <f t="shared" si="5"/>
        <v>1062.0814499999999</v>
      </c>
      <c r="I15" s="6">
        <f t="shared" si="5"/>
        <v>1062.0814499999999</v>
      </c>
    </row>
    <row r="16" spans="2:9">
      <c r="B16" s="33" t="str">
        <f>'Profit and Loss Statement'!D16</f>
        <v>Equipment Costs</v>
      </c>
      <c r="C16" s="6">
        <f>$H$44/12</f>
        <v>1028.2572</v>
      </c>
      <c r="D16" s="6">
        <f t="shared" ref="D16:I16" si="6">$H$44/12</f>
        <v>1028.2572</v>
      </c>
      <c r="E16" s="6">
        <f t="shared" si="6"/>
        <v>1028.2572</v>
      </c>
      <c r="F16" s="6">
        <f t="shared" si="6"/>
        <v>1028.2572</v>
      </c>
      <c r="G16" s="6">
        <f t="shared" si="6"/>
        <v>1028.2572</v>
      </c>
      <c r="H16" s="6">
        <f t="shared" si="6"/>
        <v>1028.2572</v>
      </c>
      <c r="I16" s="6">
        <f t="shared" si="6"/>
        <v>1028.2572</v>
      </c>
    </row>
    <row r="17" spans="2:9">
      <c r="B17" s="33" t="str">
        <f>'Profit and Loss Statement'!D17</f>
        <v>Insurance Costs</v>
      </c>
      <c r="C17" s="6">
        <f>$H$45/12</f>
        <v>1550</v>
      </c>
      <c r="D17" s="6">
        <f t="shared" ref="D17:I17" si="7">$H$45/12</f>
        <v>1550</v>
      </c>
      <c r="E17" s="6">
        <f t="shared" si="7"/>
        <v>1550</v>
      </c>
      <c r="F17" s="6">
        <f t="shared" si="7"/>
        <v>1550</v>
      </c>
      <c r="G17" s="6">
        <f t="shared" si="7"/>
        <v>1550</v>
      </c>
      <c r="H17" s="6">
        <f t="shared" si="7"/>
        <v>1550</v>
      </c>
      <c r="I17" s="6">
        <f t="shared" si="7"/>
        <v>1550</v>
      </c>
    </row>
    <row r="18" spans="2:9">
      <c r="B18" s="33" t="str">
        <f>'Profit and Loss Statement'!D18</f>
        <v>Marketing</v>
      </c>
      <c r="C18" s="6">
        <f>$H$46/12</f>
        <v>811.78200000000004</v>
      </c>
      <c r="D18" s="6">
        <f t="shared" ref="D18:I18" si="8">$H$46/12</f>
        <v>811.78200000000004</v>
      </c>
      <c r="E18" s="6">
        <f t="shared" si="8"/>
        <v>811.78200000000004</v>
      </c>
      <c r="F18" s="6">
        <f t="shared" si="8"/>
        <v>811.78200000000004</v>
      </c>
      <c r="G18" s="6">
        <f t="shared" si="8"/>
        <v>811.78200000000004</v>
      </c>
      <c r="H18" s="6">
        <f t="shared" si="8"/>
        <v>811.78200000000004</v>
      </c>
      <c r="I18" s="6">
        <f t="shared" si="8"/>
        <v>811.78200000000004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1976.25</v>
      </c>
      <c r="D20" s="6">
        <f t="shared" ref="D20:I20" si="10">$H$48/12</f>
        <v>1976.25</v>
      </c>
      <c r="E20" s="6">
        <f t="shared" si="10"/>
        <v>1976.25</v>
      </c>
      <c r="F20" s="6">
        <f t="shared" si="10"/>
        <v>1976.25</v>
      </c>
      <c r="G20" s="6">
        <f t="shared" si="10"/>
        <v>1976.25</v>
      </c>
      <c r="H20" s="6">
        <f t="shared" si="10"/>
        <v>1976.25</v>
      </c>
      <c r="I20" s="6">
        <f t="shared" si="10"/>
        <v>1976.25</v>
      </c>
    </row>
    <row r="21" spans="2:9">
      <c r="B21" s="28" t="s">
        <v>8</v>
      </c>
      <c r="C21" s="6">
        <f>SUM(C13:C20)</f>
        <v>38928.370649999997</v>
      </c>
      <c r="D21" s="6">
        <f t="shared" ref="D21:I21" si="11">SUM(D13:D20)</f>
        <v>38928.370649999997</v>
      </c>
      <c r="E21" s="6">
        <f t="shared" si="11"/>
        <v>38928.370649999997</v>
      </c>
      <c r="F21" s="6">
        <f t="shared" si="11"/>
        <v>38928.370649999997</v>
      </c>
      <c r="G21" s="6">
        <f t="shared" si="11"/>
        <v>38928.370649999997</v>
      </c>
      <c r="H21" s="6">
        <f t="shared" si="11"/>
        <v>38928.370649999997</v>
      </c>
      <c r="I21" s="6">
        <f t="shared" si="11"/>
        <v>38928.370649999997</v>
      </c>
    </row>
    <row r="22" spans="2:9">
      <c r="B22" s="30"/>
    </row>
    <row r="23" spans="2:9">
      <c r="B23" s="24" t="s">
        <v>47</v>
      </c>
      <c r="C23" s="25">
        <f>C10-C21</f>
        <v>17321.629350000003</v>
      </c>
      <c r="D23" s="25">
        <f t="shared" ref="D23:I23" si="12">D10-D21</f>
        <v>17344.129350000003</v>
      </c>
      <c r="E23" s="25">
        <f t="shared" si="12"/>
        <v>17366.629350000003</v>
      </c>
      <c r="F23" s="25">
        <f t="shared" si="12"/>
        <v>17389.129350000003</v>
      </c>
      <c r="G23" s="25">
        <f t="shared" si="12"/>
        <v>17411.629350000003</v>
      </c>
      <c r="H23" s="25">
        <f t="shared" si="12"/>
        <v>17434.129350000003</v>
      </c>
      <c r="I23" s="25">
        <f t="shared" si="12"/>
        <v>17456.629350000003</v>
      </c>
    </row>
    <row r="24" spans="2:9">
      <c r="B24" s="29" t="s">
        <v>15</v>
      </c>
      <c r="C24" s="6">
        <f>(C6/$H$34)*$H$52</f>
        <v>3495.0494273212321</v>
      </c>
      <c r="D24" s="6">
        <f t="shared" ref="D24:I24" si="13">(D6/$H$34)*$H$52</f>
        <v>3496.4474470921605</v>
      </c>
      <c r="E24" s="6">
        <f t="shared" si="13"/>
        <v>3497.8454668630893</v>
      </c>
      <c r="F24" s="6">
        <f t="shared" si="13"/>
        <v>3499.2434866340177</v>
      </c>
      <c r="G24" s="6">
        <f t="shared" si="13"/>
        <v>3500.6415064049465</v>
      </c>
      <c r="H24" s="6">
        <f t="shared" si="13"/>
        <v>3502.0395261758745</v>
      </c>
      <c r="I24" s="6">
        <f t="shared" si="13"/>
        <v>3503.4375459468029</v>
      </c>
    </row>
    <row r="25" spans="2:9">
      <c r="B25" s="29" t="s">
        <v>102</v>
      </c>
      <c r="C25" s="6">
        <f>(C6/$H$34)*$H$53</f>
        <v>699.00988546424639</v>
      </c>
      <c r="D25" s="6">
        <f t="shared" ref="D25:I25" si="14">(D6/$H$34)*$H$53</f>
        <v>699.28948941843214</v>
      </c>
      <c r="E25" s="6">
        <f t="shared" si="14"/>
        <v>699.56909337261777</v>
      </c>
      <c r="F25" s="6">
        <f t="shared" si="14"/>
        <v>699.84869732680352</v>
      </c>
      <c r="G25" s="6">
        <f t="shared" si="14"/>
        <v>700.12830128098926</v>
      </c>
      <c r="H25" s="6">
        <f t="shared" si="14"/>
        <v>700.40790523517489</v>
      </c>
      <c r="I25" s="6">
        <f t="shared" si="14"/>
        <v>700.68750918936053</v>
      </c>
    </row>
    <row r="26" spans="2:9">
      <c r="B26" s="29" t="s">
        <v>16</v>
      </c>
      <c r="C26" s="6">
        <f>'Loan Amortization Table'!D14</f>
        <v>2250</v>
      </c>
      <c r="D26" s="6">
        <f>'Loan Amortization Table'!D15</f>
        <v>2238.3729509061936</v>
      </c>
      <c r="E26" s="6">
        <f>'Loan Amortization Table'!D16</f>
        <v>2226.6586989441839</v>
      </c>
      <c r="F26" s="6">
        <f>'Loan Amortization Table'!D17</f>
        <v>2214.8565900924591</v>
      </c>
      <c r="G26" s="6">
        <f>'Loan Amortization Table'!D18</f>
        <v>2202.9659654243469</v>
      </c>
      <c r="H26" s="6">
        <f>'Loan Amortization Table'!D19</f>
        <v>2190.9861610712233</v>
      </c>
      <c r="I26" s="6">
        <f>'Loan Amortization Table'!D20</f>
        <v>2178.9165081854517</v>
      </c>
    </row>
    <row r="27" spans="2:9">
      <c r="B27" s="29" t="s">
        <v>54</v>
      </c>
      <c r="C27" s="6">
        <f>$H$55/12</f>
        <v>1250</v>
      </c>
      <c r="D27" s="6">
        <f t="shared" ref="D27:I27" si="15">$H$55/12</f>
        <v>1250</v>
      </c>
      <c r="E27" s="6">
        <f t="shared" si="15"/>
        <v>1250</v>
      </c>
      <c r="F27" s="6">
        <f t="shared" si="15"/>
        <v>1250</v>
      </c>
      <c r="G27" s="6">
        <f t="shared" si="15"/>
        <v>1250</v>
      </c>
      <c r="H27" s="6">
        <f t="shared" si="15"/>
        <v>1250</v>
      </c>
      <c r="I27" s="6">
        <f t="shared" si="15"/>
        <v>1250</v>
      </c>
    </row>
    <row r="28" spans="2:9">
      <c r="B28" s="38" t="s">
        <v>17</v>
      </c>
      <c r="C28" s="39">
        <f>C23-SUM(C24:C27)</f>
        <v>9627.5700372145257</v>
      </c>
      <c r="D28" s="39">
        <f t="shared" ref="D28:I28" si="16">D23-SUM(D24:D27)</f>
        <v>9660.0194625832173</v>
      </c>
      <c r="E28" s="39">
        <f t="shared" si="16"/>
        <v>9692.5560908201114</v>
      </c>
      <c r="F28" s="39">
        <f t="shared" si="16"/>
        <v>9725.1805759467225</v>
      </c>
      <c r="G28" s="39">
        <f t="shared" si="16"/>
        <v>9757.8935768897209</v>
      </c>
      <c r="H28" s="39">
        <f t="shared" si="16"/>
        <v>9790.6957575177294</v>
      </c>
      <c r="I28" s="39">
        <f t="shared" si="16"/>
        <v>9823.5877866783885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22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22">
      <c r="B34" s="37" t="s">
        <v>51</v>
      </c>
      <c r="C34" s="6">
        <f>Inputs!J42</f>
        <v>67689</v>
      </c>
      <c r="D34" s="6">
        <f>Inputs!K42</f>
        <v>67716</v>
      </c>
      <c r="E34" s="6">
        <f>Inputs!L42</f>
        <v>67743</v>
      </c>
      <c r="F34" s="6">
        <f>Inputs!M42</f>
        <v>67770</v>
      </c>
      <c r="G34" s="6">
        <f>Inputs!N42</f>
        <v>67797</v>
      </c>
      <c r="H34" s="6">
        <f>'Profit and Loss Statement'!E6</f>
        <v>811782</v>
      </c>
    </row>
    <row r="35" spans="2:22">
      <c r="B35" s="31" t="s">
        <v>52</v>
      </c>
      <c r="C35" s="6">
        <f>Inputs!J61</f>
        <v>11281.5</v>
      </c>
      <c r="D35" s="6">
        <f>Inputs!K61</f>
        <v>11286</v>
      </c>
      <c r="E35" s="6">
        <f>Inputs!L61</f>
        <v>11290.5</v>
      </c>
      <c r="F35" s="6">
        <f>Inputs!M61</f>
        <v>11295</v>
      </c>
      <c r="G35" s="6">
        <f>Inputs!N61</f>
        <v>11299.5</v>
      </c>
      <c r="H35" s="6">
        <f>'Profit and Loss Statement'!E7</f>
        <v>135297</v>
      </c>
    </row>
    <row r="36" spans="2:22">
      <c r="B36" s="29" t="s">
        <v>12</v>
      </c>
      <c r="C36" s="17">
        <f>1-(C35/C34)</f>
        <v>0.83333333333333337</v>
      </c>
      <c r="D36" s="17">
        <f t="shared" ref="D36:H36" si="18">1-(D35/D34)</f>
        <v>0.83333333333333337</v>
      </c>
      <c r="E36" s="17">
        <f t="shared" si="18"/>
        <v>0.83333333333333337</v>
      </c>
      <c r="F36" s="17">
        <f t="shared" si="18"/>
        <v>0.83333333333333337</v>
      </c>
      <c r="G36" s="17">
        <f t="shared" si="18"/>
        <v>0.83333333333333337</v>
      </c>
      <c r="H36" s="17">
        <f t="shared" si="18"/>
        <v>0.83333333333333337</v>
      </c>
    </row>
    <row r="37" spans="2:22">
      <c r="B37" s="30"/>
    </row>
    <row r="38" spans="2:22">
      <c r="B38" s="37" t="s">
        <v>10</v>
      </c>
      <c r="C38" s="6">
        <f>C34-C35</f>
        <v>56407.5</v>
      </c>
      <c r="D38" s="6">
        <f t="shared" ref="D38:H38" si="19">D34-D35</f>
        <v>56430</v>
      </c>
      <c r="E38" s="6">
        <f t="shared" si="19"/>
        <v>56452.5</v>
      </c>
      <c r="F38" s="6">
        <f t="shared" si="19"/>
        <v>56475</v>
      </c>
      <c r="G38" s="6">
        <f t="shared" si="19"/>
        <v>56497.5</v>
      </c>
      <c r="H38" s="6">
        <f t="shared" si="19"/>
        <v>676485</v>
      </c>
    </row>
    <row r="39" spans="2:22">
      <c r="B39" s="30"/>
    </row>
    <row r="40" spans="2:22">
      <c r="B40" s="30" t="s">
        <v>13</v>
      </c>
      <c r="C40" s="2"/>
    </row>
    <row r="41" spans="2:22">
      <c r="B41" s="31" t="s">
        <v>53</v>
      </c>
      <c r="C41" s="6">
        <f>$H$41/12</f>
        <v>25833.333333333332</v>
      </c>
      <c r="D41" s="6">
        <f t="shared" ref="D41:G41" si="20">$H$41/12</f>
        <v>25833.333333333332</v>
      </c>
      <c r="E41" s="6">
        <f t="shared" si="20"/>
        <v>25833.333333333332</v>
      </c>
      <c r="F41" s="6">
        <f t="shared" si="20"/>
        <v>25833.333333333332</v>
      </c>
      <c r="G41" s="6">
        <f t="shared" si="20"/>
        <v>25833.333333333332</v>
      </c>
      <c r="H41" s="6">
        <f>'Profit and Loss Statement'!E13</f>
        <v>310000</v>
      </c>
    </row>
    <row r="42" spans="2:22">
      <c r="B42" s="33" t="str">
        <f>B14</f>
        <v>Facility Costs</v>
      </c>
      <c r="C42" s="6">
        <f>$H$42/12</f>
        <v>6250</v>
      </c>
      <c r="D42" s="6">
        <f t="shared" ref="D42:G42" si="21">$H$42/12</f>
        <v>6250</v>
      </c>
      <c r="E42" s="6">
        <f t="shared" si="21"/>
        <v>6250</v>
      </c>
      <c r="F42" s="6">
        <f t="shared" si="21"/>
        <v>6250</v>
      </c>
      <c r="G42" s="6">
        <f t="shared" si="21"/>
        <v>6250</v>
      </c>
      <c r="H42" s="6">
        <f>'Profit and Loss Statement'!E14</f>
        <v>75000</v>
      </c>
    </row>
    <row r="43" spans="2:22">
      <c r="B43" s="33" t="str">
        <f t="shared" ref="B43:B47" si="22">B15</f>
        <v>General and Administrative</v>
      </c>
      <c r="C43" s="6">
        <f>$H$43/12</f>
        <v>1062.0814499999999</v>
      </c>
      <c r="D43" s="6">
        <f t="shared" ref="D43:G43" si="23">$H$43/12</f>
        <v>1062.0814499999999</v>
      </c>
      <c r="E43" s="6">
        <f t="shared" si="23"/>
        <v>1062.0814499999999</v>
      </c>
      <c r="F43" s="6">
        <f t="shared" si="23"/>
        <v>1062.0814499999999</v>
      </c>
      <c r="G43" s="6">
        <f t="shared" si="23"/>
        <v>1062.0814499999999</v>
      </c>
      <c r="H43" s="6">
        <f>'Profit and Loss Statement'!E15</f>
        <v>12744.9774</v>
      </c>
      <c r="V43" s="112" t="s">
        <v>135</v>
      </c>
    </row>
    <row r="44" spans="2:22">
      <c r="B44" s="33" t="str">
        <f t="shared" si="22"/>
        <v>Equipment Costs</v>
      </c>
      <c r="C44" s="6">
        <f>$H$44/12</f>
        <v>1028.2572</v>
      </c>
      <c r="D44" s="6">
        <f t="shared" ref="D44:G44" si="24">$H$44/12</f>
        <v>1028.2572</v>
      </c>
      <c r="E44" s="6">
        <f t="shared" si="24"/>
        <v>1028.2572</v>
      </c>
      <c r="F44" s="6">
        <f t="shared" si="24"/>
        <v>1028.2572</v>
      </c>
      <c r="G44" s="6">
        <f t="shared" si="24"/>
        <v>1028.2572</v>
      </c>
      <c r="H44" s="6">
        <f>'Profit and Loss Statement'!E16</f>
        <v>12339.0864</v>
      </c>
    </row>
    <row r="45" spans="2:22">
      <c r="B45" s="33" t="str">
        <f t="shared" si="22"/>
        <v>Insurance Costs</v>
      </c>
      <c r="C45" s="6">
        <f>$H$45/12</f>
        <v>1550</v>
      </c>
      <c r="D45" s="6">
        <f t="shared" ref="D45:G45" si="25">$H$45/12</f>
        <v>1550</v>
      </c>
      <c r="E45" s="6">
        <f t="shared" si="25"/>
        <v>1550</v>
      </c>
      <c r="F45" s="6">
        <f t="shared" si="25"/>
        <v>1550</v>
      </c>
      <c r="G45" s="6">
        <f t="shared" si="25"/>
        <v>1550</v>
      </c>
      <c r="H45" s="6">
        <f>'Profit and Loss Statement'!E17</f>
        <v>18600</v>
      </c>
    </row>
    <row r="46" spans="2:22">
      <c r="B46" s="33" t="str">
        <f t="shared" si="22"/>
        <v>Marketing</v>
      </c>
      <c r="C46" s="6">
        <f>$H$46/12</f>
        <v>811.78200000000004</v>
      </c>
      <c r="D46" s="6">
        <f t="shared" ref="D46:G46" si="26">$H$46/12</f>
        <v>811.78200000000004</v>
      </c>
      <c r="E46" s="6">
        <f t="shared" si="26"/>
        <v>811.78200000000004</v>
      </c>
      <c r="F46" s="6">
        <f t="shared" si="26"/>
        <v>811.78200000000004</v>
      </c>
      <c r="G46" s="6">
        <f t="shared" si="26"/>
        <v>811.78200000000004</v>
      </c>
      <c r="H46" s="6">
        <f>'Profit and Loss Statement'!E18</f>
        <v>9741.384</v>
      </c>
    </row>
    <row r="47" spans="2:22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22">
      <c r="B48" s="29" t="s">
        <v>14</v>
      </c>
      <c r="C48" s="6">
        <f>$H$48/12</f>
        <v>1976.25</v>
      </c>
      <c r="D48" s="6">
        <f t="shared" ref="D48:G48" si="28">$H$48/12</f>
        <v>1976.25</v>
      </c>
      <c r="E48" s="6">
        <f t="shared" si="28"/>
        <v>1976.25</v>
      </c>
      <c r="F48" s="6">
        <f t="shared" si="28"/>
        <v>1976.25</v>
      </c>
      <c r="G48" s="6">
        <f t="shared" si="28"/>
        <v>1976.25</v>
      </c>
      <c r="H48" s="6">
        <f>'Profit and Loss Statement'!E20</f>
        <v>23715</v>
      </c>
    </row>
    <row r="49" spans="2:15">
      <c r="B49" s="28" t="s">
        <v>8</v>
      </c>
      <c r="C49" s="6">
        <f>SUM(C41:C48)</f>
        <v>38928.370649999997</v>
      </c>
      <c r="D49" s="6">
        <f t="shared" ref="D49:G49" si="29">SUM(D41:D48)</f>
        <v>38928.370649999997</v>
      </c>
      <c r="E49" s="6">
        <f t="shared" si="29"/>
        <v>38928.370649999997</v>
      </c>
      <c r="F49" s="6">
        <f t="shared" si="29"/>
        <v>38928.370649999997</v>
      </c>
      <c r="G49" s="6">
        <f t="shared" si="29"/>
        <v>38928.370649999997</v>
      </c>
      <c r="H49" s="6">
        <f>'Profit and Loss Statement'!E21</f>
        <v>467140.44780000002</v>
      </c>
    </row>
    <row r="50" spans="2:15">
      <c r="B50" s="30"/>
    </row>
    <row r="51" spans="2:15">
      <c r="B51" s="24" t="s">
        <v>47</v>
      </c>
      <c r="C51" s="25">
        <f>C38-C49</f>
        <v>17479.129350000003</v>
      </c>
      <c r="D51" s="25">
        <f t="shared" ref="D51:H51" si="30">D38-D49</f>
        <v>17501.629350000003</v>
      </c>
      <c r="E51" s="25">
        <f t="shared" si="30"/>
        <v>17524.129350000003</v>
      </c>
      <c r="F51" s="25">
        <f t="shared" si="30"/>
        <v>17546.629350000003</v>
      </c>
      <c r="G51" s="25">
        <f t="shared" si="30"/>
        <v>17569.129350000003</v>
      </c>
      <c r="H51" s="25">
        <f t="shared" si="30"/>
        <v>209344.55219999998</v>
      </c>
    </row>
    <row r="52" spans="2:15">
      <c r="B52" s="29" t="s">
        <v>15</v>
      </c>
      <c r="C52" s="6">
        <f>(C34/$H$34)*$H$52</f>
        <v>3504.8355657177317</v>
      </c>
      <c r="D52" s="6">
        <f t="shared" ref="D52:G52" si="31">(D34/$H$34)*$H$52</f>
        <v>3506.2335854886601</v>
      </c>
      <c r="E52" s="6">
        <f t="shared" si="31"/>
        <v>3507.6316052595889</v>
      </c>
      <c r="F52" s="6">
        <f t="shared" si="31"/>
        <v>3509.0296250305173</v>
      </c>
      <c r="G52" s="6">
        <f t="shared" si="31"/>
        <v>3510.4276448014452</v>
      </c>
      <c r="H52" s="6">
        <f>'Profit and Loss Statement'!E24</f>
        <v>42032.862432736067</v>
      </c>
    </row>
    <row r="53" spans="2:15">
      <c r="B53" s="29" t="s">
        <v>102</v>
      </c>
      <c r="C53" s="6">
        <f>(C34/$H$34)*$H$53</f>
        <v>700.96711314354627</v>
      </c>
      <c r="D53" s="6">
        <f t="shared" ref="D53:G53" si="32">(D34/$H$34)*$H$53</f>
        <v>701.24671709773202</v>
      </c>
      <c r="E53" s="6">
        <f t="shared" si="32"/>
        <v>701.52632105191776</v>
      </c>
      <c r="F53" s="6">
        <f t="shared" si="32"/>
        <v>701.80592500610339</v>
      </c>
      <c r="G53" s="6">
        <f t="shared" si="32"/>
        <v>702.08552896028903</v>
      </c>
      <c r="H53" s="6">
        <f>'Profit and Loss Statement'!E25</f>
        <v>8406.572486547213</v>
      </c>
    </row>
    <row r="54" spans="2:15">
      <c r="B54" s="29" t="s">
        <v>16</v>
      </c>
      <c r="C54" s="6">
        <f>'Loan Amortization Table'!D21</f>
        <v>2166.7563329030363</v>
      </c>
      <c r="D54" s="6">
        <f>'Loan Amortization Table'!D22</f>
        <v>2154.5049563060029</v>
      </c>
      <c r="E54" s="6">
        <f>'Loan Amortization Table'!D23</f>
        <v>2142.161694384492</v>
      </c>
      <c r="F54" s="6">
        <f>'Loan Amortization Table'!D24</f>
        <v>2129.7258579985692</v>
      </c>
      <c r="G54" s="6">
        <f>'Loan Amortization Table'!D25</f>
        <v>2117.1967528397527</v>
      </c>
      <c r="H54" s="6">
        <f>'Profit and Loss Statement'!E26</f>
        <v>26213.10246905571</v>
      </c>
    </row>
    <row r="55" spans="2:15">
      <c r="B55" s="29" t="s">
        <v>54</v>
      </c>
      <c r="C55" s="6">
        <f>$H$55/12</f>
        <v>1250</v>
      </c>
      <c r="D55" s="6">
        <f t="shared" ref="D55:G55" si="33">$H$55/12</f>
        <v>1250</v>
      </c>
      <c r="E55" s="6">
        <f t="shared" si="33"/>
        <v>1250</v>
      </c>
      <c r="F55" s="6">
        <f t="shared" si="33"/>
        <v>1250</v>
      </c>
      <c r="G55" s="6">
        <f t="shared" si="33"/>
        <v>1250</v>
      </c>
      <c r="H55" s="6">
        <f>'Profit and Loss Statement'!E27</f>
        <v>15000</v>
      </c>
    </row>
    <row r="56" spans="2:15">
      <c r="B56" s="38" t="s">
        <v>17</v>
      </c>
      <c r="C56" s="39">
        <f>C51-SUM(C52:C55)</f>
        <v>9856.5703382356878</v>
      </c>
      <c r="D56" s="39">
        <f t="shared" ref="D56:G56" si="34">D51-SUM(D52:D55)</f>
        <v>9889.6440911076079</v>
      </c>
      <c r="E56" s="39">
        <f t="shared" si="34"/>
        <v>9922.8097293040046</v>
      </c>
      <c r="F56" s="39">
        <f t="shared" si="34"/>
        <v>9956.0679419648131</v>
      </c>
      <c r="G56" s="39">
        <f t="shared" si="34"/>
        <v>9989.4194233985163</v>
      </c>
      <c r="H56" s="39">
        <f>'Profit and Loss Statement'!E28</f>
        <v>117692.01481166098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243534.6</v>
      </c>
      <c r="D62" s="6">
        <f t="shared" ref="D62:F62" si="38">$G$62*M62</f>
        <v>243534.6</v>
      </c>
      <c r="E62" s="6">
        <f t="shared" si="38"/>
        <v>243534.6</v>
      </c>
      <c r="F62" s="6">
        <f t="shared" si="38"/>
        <v>243534.6</v>
      </c>
      <c r="G62" s="6">
        <f>'Profit and Loss Statement'!F6</f>
        <v>974138.4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40589.1</v>
      </c>
      <c r="D63" s="6">
        <f t="shared" ref="D63:F63" si="39">$G$63*M62</f>
        <v>40589.1</v>
      </c>
      <c r="E63" s="6">
        <f t="shared" si="39"/>
        <v>40589.1</v>
      </c>
      <c r="F63" s="6">
        <f t="shared" si="39"/>
        <v>40589.1</v>
      </c>
      <c r="G63" s="6">
        <f>'Profit and Loss Statement'!F7</f>
        <v>162356.4</v>
      </c>
    </row>
    <row r="64" spans="2:15">
      <c r="B64" s="29" t="s">
        <v>12</v>
      </c>
      <c r="C64" s="17">
        <f>1-(C63/C62)</f>
        <v>0.83333333333333337</v>
      </c>
      <c r="D64" s="17">
        <f t="shared" ref="D64" si="40">1-(D63/D62)</f>
        <v>0.83333333333333337</v>
      </c>
      <c r="E64" s="17">
        <f t="shared" ref="E64" si="41">1-(E63/E62)</f>
        <v>0.83333333333333337</v>
      </c>
      <c r="F64" s="17">
        <f t="shared" ref="F64:G64" si="42">1-(F63/F62)</f>
        <v>0.83333333333333337</v>
      </c>
      <c r="G64" s="17">
        <f t="shared" si="42"/>
        <v>0.83333333333333337</v>
      </c>
    </row>
    <row r="65" spans="2:7">
      <c r="B65" s="30"/>
    </row>
    <row r="66" spans="2:7">
      <c r="B66" s="37" t="s">
        <v>10</v>
      </c>
      <c r="C66" s="6">
        <f>C62-C63</f>
        <v>202945.5</v>
      </c>
      <c r="D66" s="6">
        <f t="shared" ref="D66:G66" si="43">D62-D63</f>
        <v>202945.5</v>
      </c>
      <c r="E66" s="6">
        <f t="shared" si="43"/>
        <v>202945.5</v>
      </c>
      <c r="F66" s="6">
        <f t="shared" si="43"/>
        <v>202945.5</v>
      </c>
      <c r="G66" s="6">
        <f t="shared" si="43"/>
        <v>811782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79825</v>
      </c>
      <c r="D69" s="6">
        <f t="shared" ref="D69:F69" si="44">$G$69/4</f>
        <v>79825</v>
      </c>
      <c r="E69" s="6">
        <f t="shared" si="44"/>
        <v>79825</v>
      </c>
      <c r="F69" s="6">
        <f t="shared" si="44"/>
        <v>79825</v>
      </c>
      <c r="G69" s="6">
        <f>'Profit and Loss Statement'!F13</f>
        <v>319300</v>
      </c>
    </row>
    <row r="70" spans="2:7">
      <c r="B70" s="33" t="str">
        <f>B42</f>
        <v>Facility Costs</v>
      </c>
      <c r="C70" s="6">
        <f>$G$70/4</f>
        <v>19312.5</v>
      </c>
      <c r="D70" s="6">
        <f t="shared" ref="D70:F70" si="45">$G$70/4</f>
        <v>19312.5</v>
      </c>
      <c r="E70" s="6">
        <f t="shared" si="45"/>
        <v>19312.5</v>
      </c>
      <c r="F70" s="6">
        <f t="shared" si="45"/>
        <v>19312.5</v>
      </c>
      <c r="G70" s="6">
        <f>'Profit and Loss Statement'!F14</f>
        <v>77250</v>
      </c>
    </row>
    <row r="71" spans="2:7">
      <c r="B71" s="33" t="str">
        <f t="shared" ref="B71:B75" si="46">B43</f>
        <v>General and Administrative</v>
      </c>
      <c r="C71" s="6">
        <f>$G$71/4</f>
        <v>3823.4932199999998</v>
      </c>
      <c r="D71" s="6">
        <f t="shared" ref="D71:F71" si="47">$G$71/4</f>
        <v>3823.4932199999998</v>
      </c>
      <c r="E71" s="6">
        <f t="shared" si="47"/>
        <v>3823.4932199999998</v>
      </c>
      <c r="F71" s="6">
        <f t="shared" si="47"/>
        <v>3823.4932199999998</v>
      </c>
      <c r="G71" s="6">
        <f>'Profit and Loss Statement'!F15</f>
        <v>15293.972879999999</v>
      </c>
    </row>
    <row r="72" spans="2:7">
      <c r="B72" s="33" t="str">
        <f t="shared" si="46"/>
        <v>Equipment Costs</v>
      </c>
      <c r="C72" s="6">
        <f>$G$72/4</f>
        <v>3701.7259199999999</v>
      </c>
      <c r="D72" s="6">
        <f t="shared" ref="D72:F72" si="48">$G$72/4</f>
        <v>3701.7259199999999</v>
      </c>
      <c r="E72" s="6">
        <f t="shared" si="48"/>
        <v>3701.7259199999999</v>
      </c>
      <c r="F72" s="6">
        <f t="shared" si="48"/>
        <v>3701.7259199999999</v>
      </c>
      <c r="G72" s="6">
        <f>'Profit and Loss Statement'!F16</f>
        <v>14806.903679999999</v>
      </c>
    </row>
    <row r="73" spans="2:7">
      <c r="B73" s="33" t="str">
        <f t="shared" si="46"/>
        <v>Insurance Costs</v>
      </c>
      <c r="C73" s="6">
        <f>$G$73/4</f>
        <v>4789.5</v>
      </c>
      <c r="D73" s="6">
        <f t="shared" ref="D73:F73" si="49">$G$73/4</f>
        <v>4789.5</v>
      </c>
      <c r="E73" s="6">
        <f t="shared" si="49"/>
        <v>4789.5</v>
      </c>
      <c r="F73" s="6">
        <f t="shared" si="49"/>
        <v>4789.5</v>
      </c>
      <c r="G73" s="6">
        <f>'Profit and Loss Statement'!F17</f>
        <v>19158</v>
      </c>
    </row>
    <row r="74" spans="2:7">
      <c r="B74" s="33" t="str">
        <f t="shared" si="46"/>
        <v>Marketing</v>
      </c>
      <c r="C74" s="6">
        <f>$G$74/4</f>
        <v>2922.4151999999999</v>
      </c>
      <c r="D74" s="6">
        <f t="shared" ref="D74:F74" si="50">$G$74/4</f>
        <v>2922.4151999999999</v>
      </c>
      <c r="E74" s="6">
        <f t="shared" si="50"/>
        <v>2922.4151999999999</v>
      </c>
      <c r="F74" s="6">
        <f t="shared" si="50"/>
        <v>2922.4151999999999</v>
      </c>
      <c r="G74" s="6">
        <f>'Profit and Loss Statement'!F18</f>
        <v>11689.6608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6106.6125000000002</v>
      </c>
      <c r="D76" s="6">
        <f t="shared" ref="D76:F76" si="52">$G$76/4</f>
        <v>6106.6125000000002</v>
      </c>
      <c r="E76" s="6">
        <f t="shared" si="52"/>
        <v>6106.6125000000002</v>
      </c>
      <c r="F76" s="6">
        <f t="shared" si="52"/>
        <v>6106.6125000000002</v>
      </c>
      <c r="G76" s="6">
        <f>'Profit and Loss Statement'!F20</f>
        <v>24426.45</v>
      </c>
    </row>
    <row r="77" spans="2:7">
      <c r="B77" s="28" t="s">
        <v>8</v>
      </c>
      <c r="C77" s="6">
        <f>SUM(C69:C76)</f>
        <v>122168.74684000001</v>
      </c>
      <c r="D77" s="6">
        <f t="shared" ref="D77:F77" si="53">SUM(D69:D76)</f>
        <v>122168.74684000001</v>
      </c>
      <c r="E77" s="6">
        <f t="shared" si="53"/>
        <v>122168.74684000001</v>
      </c>
      <c r="F77" s="6">
        <f t="shared" si="53"/>
        <v>122168.74684000001</v>
      </c>
      <c r="G77" s="6">
        <f>SUM(G69:G76)</f>
        <v>488674.98736000003</v>
      </c>
    </row>
    <row r="78" spans="2:7">
      <c r="B78" s="30"/>
    </row>
    <row r="79" spans="2:7">
      <c r="B79" s="24" t="s">
        <v>47</v>
      </c>
      <c r="C79" s="25">
        <f>C66-C77</f>
        <v>80776.753159999993</v>
      </c>
      <c r="D79" s="25">
        <f t="shared" ref="D79:F79" si="54">D66-D77</f>
        <v>80776.753159999993</v>
      </c>
      <c r="E79" s="25">
        <f t="shared" si="54"/>
        <v>80776.753159999993</v>
      </c>
      <c r="F79" s="25">
        <f t="shared" si="54"/>
        <v>80776.753159999993</v>
      </c>
      <c r="G79" s="25">
        <f t="shared" ref="G79" si="55">G66-G77</f>
        <v>323107.01263999997</v>
      </c>
    </row>
    <row r="80" spans="2:7">
      <c r="B80" s="29" t="s">
        <v>15</v>
      </c>
      <c r="C80" s="6">
        <f>$G$80*L62</f>
        <v>17732.052652150011</v>
      </c>
      <c r="D80" s="6">
        <f t="shared" ref="D80:F80" si="56">$G$80*M62</f>
        <v>17732.052652150011</v>
      </c>
      <c r="E80" s="6">
        <f t="shared" si="56"/>
        <v>17732.052652150011</v>
      </c>
      <c r="F80" s="6">
        <f t="shared" si="56"/>
        <v>17732.052652150011</v>
      </c>
      <c r="G80" s="6">
        <f>'Profit and Loss Statement'!F24</f>
        <v>70928.210608600042</v>
      </c>
    </row>
    <row r="81" spans="2:15">
      <c r="B81" s="29" t="s">
        <v>102</v>
      </c>
      <c r="C81" s="6">
        <f>$G$81*L62</f>
        <v>3546.4105304300024</v>
      </c>
      <c r="D81" s="6">
        <f t="shared" ref="D81:F81" si="57">$G$81*M62</f>
        <v>3546.4105304300024</v>
      </c>
      <c r="E81" s="6">
        <f t="shared" si="57"/>
        <v>3546.4105304300024</v>
      </c>
      <c r="F81" s="6">
        <f t="shared" si="57"/>
        <v>3546.4105304300024</v>
      </c>
      <c r="G81" s="6">
        <f>'Profit and Loss Statement'!F25</f>
        <v>14185.64212172001</v>
      </c>
    </row>
    <row r="82" spans="2:15">
      <c r="B82" s="29" t="s">
        <v>16</v>
      </c>
      <c r="C82" s="6">
        <f>SUM('Loan Amortization Table'!D26:D28)</f>
        <v>6275.4724155829035</v>
      </c>
      <c r="D82" s="6">
        <f>SUM('Loan Amortization Table'!D29:D31)</f>
        <v>6159.285038489701</v>
      </c>
      <c r="E82" s="6">
        <f>SUM('Loan Amortization Table'!D32:D34)</f>
        <v>6040.4637897754692</v>
      </c>
      <c r="F82" s="6">
        <f>SUM('Loan Amortization Table'!D35:D37)</f>
        <v>5918.948961751732</v>
      </c>
      <c r="G82" s="6">
        <f>'Profit and Loss Statement'!F26</f>
        <v>24394.170205599807</v>
      </c>
    </row>
    <row r="83" spans="2:15">
      <c r="B83" s="29" t="s">
        <v>54</v>
      </c>
      <c r="C83" s="6">
        <f>$G$83/4</f>
        <v>3750</v>
      </c>
      <c r="D83" s="6">
        <f t="shared" ref="D83:F83" si="58">$G$83/4</f>
        <v>3750</v>
      </c>
      <c r="E83" s="6">
        <f t="shared" si="58"/>
        <v>3750</v>
      </c>
      <c r="F83" s="6">
        <f t="shared" si="58"/>
        <v>3750</v>
      </c>
      <c r="G83" s="6">
        <f>'Profit and Loss Statement'!F27</f>
        <v>15000</v>
      </c>
    </row>
    <row r="84" spans="2:15">
      <c r="B84" s="38" t="s">
        <v>17</v>
      </c>
      <c r="C84" s="39">
        <f>C79-SUM(C80:C83)</f>
        <v>49472.817561837073</v>
      </c>
      <c r="D84" s="39">
        <f t="shared" ref="D84:F84" si="59">D79-SUM(D80:D83)</f>
        <v>49589.00493893028</v>
      </c>
      <c r="E84" s="39">
        <f t="shared" si="59"/>
        <v>49707.82618764451</v>
      </c>
      <c r="F84" s="39">
        <f t="shared" si="59"/>
        <v>49829.341015668251</v>
      </c>
      <c r="G84" s="39">
        <f>'Profit and Loss Statement'!F28</f>
        <v>198598.9897040801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280064.78999999998</v>
      </c>
      <c r="D92" s="6">
        <f t="shared" ref="D92:F92" si="64">$G$92*M92</f>
        <v>280064.78999999998</v>
      </c>
      <c r="E92" s="6">
        <f t="shared" si="64"/>
        <v>280064.78999999998</v>
      </c>
      <c r="F92" s="6">
        <f t="shared" si="64"/>
        <v>280064.78999999998</v>
      </c>
      <c r="G92" s="6">
        <f>'Profit and Loss Statement'!G6</f>
        <v>1120259.1599999999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46677.464999999997</v>
      </c>
      <c r="D93" s="6">
        <f t="shared" ref="D93:F93" si="65">$G$93*M92</f>
        <v>46677.464999999997</v>
      </c>
      <c r="E93" s="6">
        <f t="shared" si="65"/>
        <v>46677.464999999997</v>
      </c>
      <c r="F93" s="6">
        <f t="shared" si="65"/>
        <v>46677.464999999997</v>
      </c>
      <c r="G93" s="6">
        <f>'Profit and Loss Statement'!G7</f>
        <v>186709.86</v>
      </c>
    </row>
    <row r="94" spans="2:15">
      <c r="B94" s="29" t="s">
        <v>12</v>
      </c>
      <c r="C94" s="17">
        <f>1-(C93/C92)</f>
        <v>0.83333333333333337</v>
      </c>
      <c r="D94" s="17">
        <f t="shared" ref="D94:G94" si="66">1-(D93/D92)</f>
        <v>0.83333333333333337</v>
      </c>
      <c r="E94" s="17">
        <f t="shared" si="66"/>
        <v>0.83333333333333337</v>
      </c>
      <c r="F94" s="17">
        <f t="shared" si="66"/>
        <v>0.83333333333333337</v>
      </c>
      <c r="G94" s="17">
        <f t="shared" si="66"/>
        <v>0.83333333333333337</v>
      </c>
    </row>
    <row r="95" spans="2:15">
      <c r="B95" s="30"/>
    </row>
    <row r="96" spans="2:15">
      <c r="B96" s="37" t="s">
        <v>10</v>
      </c>
      <c r="C96" s="6">
        <f>C92-C93</f>
        <v>233387.32499999998</v>
      </c>
      <c r="D96" s="6">
        <f t="shared" ref="D96:G96" si="67">D92-D93</f>
        <v>233387.32499999998</v>
      </c>
      <c r="E96" s="6">
        <f t="shared" si="67"/>
        <v>233387.32499999998</v>
      </c>
      <c r="F96" s="6">
        <f t="shared" si="67"/>
        <v>233387.32499999998</v>
      </c>
      <c r="G96" s="6">
        <f t="shared" si="67"/>
        <v>933549.29999999993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82219.75</v>
      </c>
      <c r="D99" s="6">
        <f>$G$99/4</f>
        <v>82219.75</v>
      </c>
      <c r="E99" s="6">
        <f>$G$99/4</f>
        <v>82219.75</v>
      </c>
      <c r="F99" s="6">
        <f>$G$99/4</f>
        <v>82219.75</v>
      </c>
      <c r="G99" s="6">
        <f>'Profit and Loss Statement'!G13</f>
        <v>328879</v>
      </c>
    </row>
    <row r="100" spans="2:7">
      <c r="B100" s="33" t="str">
        <f>B70</f>
        <v>Facility Costs</v>
      </c>
      <c r="C100" s="6">
        <f>$G$100/4</f>
        <v>19891.875</v>
      </c>
      <c r="D100" s="6">
        <f t="shared" ref="D100:F100" si="68">$G$100/4</f>
        <v>19891.875</v>
      </c>
      <c r="E100" s="6">
        <f t="shared" si="68"/>
        <v>19891.875</v>
      </c>
      <c r="F100" s="6">
        <f t="shared" si="68"/>
        <v>19891.875</v>
      </c>
      <c r="G100" s="6">
        <f>'Profit and Loss Statement'!G14</f>
        <v>79567.5</v>
      </c>
    </row>
    <row r="101" spans="2:7">
      <c r="B101" s="33" t="str">
        <f t="shared" ref="B101:B105" si="69">B71</f>
        <v>General and Administrative</v>
      </c>
      <c r="C101" s="6">
        <f>$G101/4</f>
        <v>4397.0172029999994</v>
      </c>
      <c r="D101" s="6">
        <f t="shared" ref="D101:F101" si="70">$G101/4</f>
        <v>4397.0172029999994</v>
      </c>
      <c r="E101" s="6">
        <f t="shared" si="70"/>
        <v>4397.0172029999994</v>
      </c>
      <c r="F101" s="6">
        <f t="shared" si="70"/>
        <v>4397.0172029999994</v>
      </c>
      <c r="G101" s="6">
        <f>'Profit and Loss Statement'!G15</f>
        <v>17588.068811999998</v>
      </c>
    </row>
    <row r="102" spans="2:7">
      <c r="B102" s="33" t="str">
        <f t="shared" si="69"/>
        <v>Equipment Costs</v>
      </c>
      <c r="C102" s="6">
        <f>$G$102/4</f>
        <v>4256.9848079999992</v>
      </c>
      <c r="D102" s="6">
        <f t="shared" ref="D102:F102" si="71">$G$102/4</f>
        <v>4256.9848079999992</v>
      </c>
      <c r="E102" s="6">
        <f t="shared" si="71"/>
        <v>4256.9848079999992</v>
      </c>
      <c r="F102" s="6">
        <f t="shared" si="71"/>
        <v>4256.9848079999992</v>
      </c>
      <c r="G102" s="6">
        <f>'Profit and Loss Statement'!G16</f>
        <v>17027.939231999997</v>
      </c>
    </row>
    <row r="103" spans="2:7">
      <c r="B103" s="33" t="str">
        <f t="shared" si="69"/>
        <v>Insurance Costs</v>
      </c>
      <c r="C103" s="6">
        <f>$G$103/4</f>
        <v>4933.1849999999995</v>
      </c>
      <c r="D103" s="6">
        <f t="shared" ref="D103:F103" si="72">$G$103/4</f>
        <v>4933.1849999999995</v>
      </c>
      <c r="E103" s="6">
        <f t="shared" si="72"/>
        <v>4933.1849999999995</v>
      </c>
      <c r="F103" s="6">
        <f t="shared" si="72"/>
        <v>4933.1849999999995</v>
      </c>
      <c r="G103" s="6">
        <f>'Profit and Loss Statement'!G17</f>
        <v>19732.739999999998</v>
      </c>
    </row>
    <row r="104" spans="2:7">
      <c r="B104" s="33" t="str">
        <f t="shared" si="69"/>
        <v>Marketing</v>
      </c>
      <c r="C104" s="6">
        <f>$G$104/4</f>
        <v>3360.7774799999997</v>
      </c>
      <c r="D104" s="6">
        <f t="shared" ref="D104:F104" si="73">$G$104/4</f>
        <v>3360.7774799999997</v>
      </c>
      <c r="E104" s="6">
        <f t="shared" si="73"/>
        <v>3360.7774799999997</v>
      </c>
      <c r="F104" s="6">
        <f t="shared" si="73"/>
        <v>3360.7774799999997</v>
      </c>
      <c r="G104" s="6">
        <f>'Profit and Loss Statement'!G18</f>
        <v>13443.109919999999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6289.8108750000001</v>
      </c>
      <c r="D106" s="6">
        <f t="shared" ref="D106:F106" si="75">$G$106/4</f>
        <v>6289.8108750000001</v>
      </c>
      <c r="E106" s="6">
        <f t="shared" si="75"/>
        <v>6289.8108750000001</v>
      </c>
      <c r="F106" s="6">
        <f t="shared" si="75"/>
        <v>6289.8108750000001</v>
      </c>
      <c r="G106" s="6">
        <f>'Profit and Loss Statement'!G20</f>
        <v>25159.2435</v>
      </c>
    </row>
    <row r="107" spans="2:7">
      <c r="B107" s="28" t="s">
        <v>8</v>
      </c>
      <c r="C107" s="6">
        <f>SUM(C99:C106)</f>
        <v>127627.52536599999</v>
      </c>
      <c r="D107" s="6">
        <f t="shared" ref="D107:F107" si="76">SUM(D99:D106)</f>
        <v>127627.52536599999</v>
      </c>
      <c r="E107" s="6">
        <f t="shared" si="76"/>
        <v>127627.52536599999</v>
      </c>
      <c r="F107" s="6">
        <f t="shared" si="76"/>
        <v>127627.52536599999</v>
      </c>
      <c r="G107" s="6">
        <f>SUM(G99:G106)</f>
        <v>510510.10146399995</v>
      </c>
    </row>
    <row r="108" spans="2:7">
      <c r="B108" s="30"/>
    </row>
    <row r="109" spans="2:7">
      <c r="B109" s="24" t="s">
        <v>47</v>
      </c>
      <c r="C109" s="25">
        <f>C96-C107</f>
        <v>105759.799634</v>
      </c>
      <c r="D109" s="25">
        <f t="shared" ref="D109:G109" si="77">D96-D107</f>
        <v>105759.799634</v>
      </c>
      <c r="E109" s="25">
        <f t="shared" si="77"/>
        <v>105759.799634</v>
      </c>
      <c r="F109" s="25">
        <f t="shared" si="77"/>
        <v>105759.799634</v>
      </c>
      <c r="G109" s="25">
        <f t="shared" si="77"/>
        <v>423039.19853599998</v>
      </c>
    </row>
    <row r="110" spans="2:7">
      <c r="B110" s="29" t="s">
        <v>15</v>
      </c>
      <c r="C110" s="6">
        <f>$G$110*L92</f>
        <v>24102.161811660284</v>
      </c>
      <c r="D110" s="6">
        <f t="shared" ref="D110:F110" si="78">$G$110*M92</f>
        <v>24102.161811660284</v>
      </c>
      <c r="E110" s="6">
        <f t="shared" si="78"/>
        <v>24102.161811660284</v>
      </c>
      <c r="F110" s="6">
        <f t="shared" si="78"/>
        <v>24102.161811660284</v>
      </c>
      <c r="G110" s="6">
        <f>'Profit and Loss Statement'!G24</f>
        <v>96408.647246641136</v>
      </c>
    </row>
    <row r="111" spans="2:7">
      <c r="B111" s="29" t="s">
        <v>102</v>
      </c>
      <c r="C111" s="6">
        <f>$G$111*L92</f>
        <v>4820.432362332057</v>
      </c>
      <c r="D111" s="6">
        <f t="shared" ref="D111:F111" si="79">$G$111*M92</f>
        <v>4820.432362332057</v>
      </c>
      <c r="E111" s="6">
        <f t="shared" si="79"/>
        <v>4820.432362332057</v>
      </c>
      <c r="F111" s="6">
        <f t="shared" si="79"/>
        <v>4820.432362332057</v>
      </c>
      <c r="G111" s="6">
        <f>'Profit and Loss Statement'!G25</f>
        <v>19281.729449328228</v>
      </c>
    </row>
    <row r="112" spans="2:7">
      <c r="B112" s="29" t="s">
        <v>16</v>
      </c>
      <c r="C112" s="6">
        <f>SUM('Loan Amortization Table'!D38:D40)</f>
        <v>5794.6794932061621</v>
      </c>
      <c r="D112" s="6">
        <f>SUM('Loan Amortization Table'!D41:D43)</f>
        <v>5667.5929387193191</v>
      </c>
      <c r="E112" s="6">
        <f>SUM('Loan Amortization Table'!D44:D46)</f>
        <v>5537.625437285812</v>
      </c>
      <c r="F112" s="6">
        <f>SUM('Loan Amortization Table'!D47:D49)</f>
        <v>5404.7116802241453</v>
      </c>
      <c r="G112" s="6">
        <f>'Profit and Loss Statement'!G26</f>
        <v>22404.609549435441</v>
      </c>
    </row>
    <row r="113" spans="2:15">
      <c r="B113" s="29" t="s">
        <v>54</v>
      </c>
      <c r="C113" s="6">
        <f>$G$113/4</f>
        <v>3750</v>
      </c>
      <c r="D113" s="6">
        <f>$G$113/4</f>
        <v>3750</v>
      </c>
      <c r="E113" s="6">
        <f>$G$113/4</f>
        <v>3750</v>
      </c>
      <c r="F113" s="6">
        <f>$G$113/4</f>
        <v>3750</v>
      </c>
      <c r="G113" s="6">
        <f>'Profit and Loss Statement'!G27</f>
        <v>15000</v>
      </c>
    </row>
    <row r="114" spans="2:15">
      <c r="B114" s="38" t="s">
        <v>17</v>
      </c>
      <c r="C114" s="39">
        <f>C109-SUM(C110:C113)</f>
        <v>67292.525966801491</v>
      </c>
      <c r="D114" s="39">
        <f t="shared" ref="D114:F114" si="80">D109-SUM(D110:D113)</f>
        <v>67419.612521288334</v>
      </c>
      <c r="E114" s="39">
        <f t="shared" si="80"/>
        <v>67549.580022721842</v>
      </c>
      <c r="F114" s="39">
        <f t="shared" si="80"/>
        <v>67682.493779783515</v>
      </c>
      <c r="G114" s="39">
        <f>'Profit and Loss Statement'!G28</f>
        <v>269944.21229059517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Q151"/>
  <sheetViews>
    <sheetView showGridLines="0" workbookViewId="0">
      <selection activeCell="U6" sqref="U6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10877.570037214526</v>
      </c>
      <c r="E6" s="13">
        <f>'Expanded Profit and Loss'!D28+'Expanded Profit and Loss'!D27</f>
        <v>10910.019462583217</v>
      </c>
      <c r="F6" s="13">
        <f>'Expanded Profit and Loss'!E28+'Expanded Profit and Loss'!E27</f>
        <v>10942.556090820111</v>
      </c>
      <c r="G6" s="13">
        <f>'Expanded Profit and Loss'!F28+'Expanded Profit and Loss'!F27</f>
        <v>10975.180575946722</v>
      </c>
      <c r="H6" s="13">
        <f>'Expanded Profit and Loss'!G28+'Expanded Profit and Loss'!G27</f>
        <v>11007.893576889721</v>
      </c>
      <c r="I6" s="13">
        <f>'Expanded Profit and Loss'!H28+'Expanded Profit and Loss'!H27</f>
        <v>11040.695757517729</v>
      </c>
      <c r="J6" s="13">
        <f>'Expanded Profit and Loss'!I28+'Expanded Profit and Loss'!I27</f>
        <v>11073.587786678389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300000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350833.33333333331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361710.90337054787</v>
      </c>
      <c r="E15" s="27">
        <f t="shared" ref="E15:J15" si="3">E6+E12</f>
        <v>11743.352795916551</v>
      </c>
      <c r="F15" s="27">
        <f t="shared" si="3"/>
        <v>11775.889424153445</v>
      </c>
      <c r="G15" s="27">
        <f t="shared" si="3"/>
        <v>11808.513909280056</v>
      </c>
      <c r="H15" s="27">
        <f t="shared" si="3"/>
        <v>11841.226910223055</v>
      </c>
      <c r="I15" s="27">
        <f t="shared" si="3"/>
        <v>11874.029090851063</v>
      </c>
      <c r="J15" s="27">
        <f t="shared" si="3"/>
        <v>11906.921120011722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1550.2732125074845</v>
      </c>
      <c r="E18" s="6">
        <f>'Loan Amortization Table'!C15</f>
        <v>1561.9002616012908</v>
      </c>
      <c r="F18" s="6">
        <f>'Loan Amortization Table'!C16</f>
        <v>1573.6145135633005</v>
      </c>
      <c r="G18" s="6">
        <f>'Loan Amortization Table'!C17</f>
        <v>1585.4166224150254</v>
      </c>
      <c r="H18" s="6">
        <f>'Loan Amortization Table'!C18</f>
        <v>1597.3072470831376</v>
      </c>
      <c r="I18" s="6">
        <f>'Loan Amortization Table'!C19</f>
        <v>1609.2870514362612</v>
      </c>
      <c r="J18" s="6">
        <f>'Loan Amortization Table'!C20</f>
        <v>1621.3567043220328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140000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142133.60654584083</v>
      </c>
      <c r="E22" s="26">
        <f t="shared" ref="E22:J22" si="5">SUM(E18:E21)</f>
        <v>2145.2335949346243</v>
      </c>
      <c r="F22" s="26">
        <f t="shared" si="5"/>
        <v>2156.947846896634</v>
      </c>
      <c r="G22" s="26">
        <f t="shared" si="5"/>
        <v>2168.7499557483588</v>
      </c>
      <c r="H22" s="26">
        <f t="shared" si="5"/>
        <v>2180.640580416471</v>
      </c>
      <c r="I22" s="26">
        <f t="shared" si="5"/>
        <v>2192.6203847695947</v>
      </c>
      <c r="J22" s="26">
        <f t="shared" si="5"/>
        <v>2204.6900376553663</v>
      </c>
    </row>
    <row r="23" spans="3:10">
      <c r="C23" s="30"/>
    </row>
    <row r="24" spans="3:10">
      <c r="C24" s="42" t="s">
        <v>27</v>
      </c>
      <c r="D24" s="25">
        <f>D15-D22</f>
        <v>219577.29682470704</v>
      </c>
      <c r="E24" s="25">
        <f t="shared" ref="E24:J24" si="6">E15-E22</f>
        <v>9598.1192009819279</v>
      </c>
      <c r="F24" s="25">
        <f t="shared" si="6"/>
        <v>9618.9415772568118</v>
      </c>
      <c r="G24" s="25">
        <f t="shared" si="6"/>
        <v>9639.7639535316976</v>
      </c>
      <c r="H24" s="25">
        <f t="shared" si="6"/>
        <v>9660.5863298065833</v>
      </c>
      <c r="I24" s="25">
        <f t="shared" si="6"/>
        <v>9681.4087060814691</v>
      </c>
      <c r="J24" s="25">
        <f t="shared" si="6"/>
        <v>9702.2310823563566</v>
      </c>
    </row>
    <row r="25" spans="3:10">
      <c r="C25" s="42" t="s">
        <v>6</v>
      </c>
      <c r="D25" s="25">
        <f>D24</f>
        <v>219577.29682470704</v>
      </c>
      <c r="E25" s="25">
        <f>D25+E24</f>
        <v>229175.41602568896</v>
      </c>
      <c r="F25" s="25">
        <f t="shared" ref="F25:J25" si="7">E25+F24</f>
        <v>238794.35760294576</v>
      </c>
      <c r="G25" s="25">
        <f t="shared" si="7"/>
        <v>248434.12155647745</v>
      </c>
      <c r="H25" s="25">
        <f t="shared" si="7"/>
        <v>258094.70788628404</v>
      </c>
      <c r="I25" s="25">
        <f t="shared" si="7"/>
        <v>267776.11659236549</v>
      </c>
      <c r="J25" s="25">
        <f t="shared" si="7"/>
        <v>277478.34767472185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11106.570338235688</v>
      </c>
      <c r="E31" s="13">
        <f>'Expanded Profit and Loss'!D56+'Expanded Profit and Loss'!D55</f>
        <v>11139.644091107608</v>
      </c>
      <c r="F31" s="13">
        <f>'Expanded Profit and Loss'!E56+'Expanded Profit and Loss'!E55</f>
        <v>11172.809729304005</v>
      </c>
      <c r="G31" s="13">
        <f>'Expanded Profit and Loss'!F56+'Expanded Profit and Loss'!F55</f>
        <v>11206.067941964813</v>
      </c>
      <c r="H31" s="13">
        <f>'Expanded Profit and Loss'!G56+'Expanded Profit and Loss'!G55</f>
        <v>11239.419423398516</v>
      </c>
      <c r="I31" s="13">
        <f>'Cash Flow Analysis'!E6</f>
        <v>132692.01481166098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300000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360000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11939.903671569022</v>
      </c>
      <c r="E40" s="27">
        <f t="shared" ref="E40:H40" si="13">E31+E37</f>
        <v>11972.977424440942</v>
      </c>
      <c r="F40" s="27">
        <f t="shared" si="13"/>
        <v>12006.143062637339</v>
      </c>
      <c r="G40" s="27">
        <f t="shared" si="13"/>
        <v>12039.401275298147</v>
      </c>
      <c r="H40" s="27">
        <f t="shared" si="13"/>
        <v>12072.75275673185</v>
      </c>
      <c r="I40" s="36">
        <f>'Cash Flow Analysis'!E15</f>
        <v>492692.01481166098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1633.5168796044481</v>
      </c>
      <c r="E43" s="6">
        <f>'Loan Amortization Table'!C22</f>
        <v>1645.7682562014816</v>
      </c>
      <c r="F43" s="6">
        <f>'Loan Amortization Table'!C23</f>
        <v>1658.1115181229925</v>
      </c>
      <c r="G43" s="6">
        <f>'Loan Amortization Table'!C24</f>
        <v>1670.5473545089153</v>
      </c>
      <c r="H43" s="6">
        <f>'Loan Amortization Table'!C25</f>
        <v>1683.0764596677318</v>
      </c>
      <c r="I43" s="6">
        <f>'Cash Flow Analysis'!E18</f>
        <v>19390.1760810341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140000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92884.410368162673</v>
      </c>
      <c r="I46" s="13">
        <f>'Cash Flow Analysis'!E21</f>
        <v>92884.410368162673</v>
      </c>
      <c r="J46" s="30"/>
    </row>
    <row r="47" spans="3:10">
      <c r="C47" s="37" t="s">
        <v>26</v>
      </c>
      <c r="D47" s="26">
        <f>SUM(D43:D46)</f>
        <v>2216.8502129377816</v>
      </c>
      <c r="E47" s="26">
        <f t="shared" ref="E47:H47" si="15">SUM(E43:E46)</f>
        <v>2229.101589534815</v>
      </c>
      <c r="F47" s="26">
        <f t="shared" si="15"/>
        <v>2241.444851456326</v>
      </c>
      <c r="G47" s="26">
        <f t="shared" si="15"/>
        <v>2253.8806878422488</v>
      </c>
      <c r="H47" s="26">
        <f t="shared" si="15"/>
        <v>95150.820161163734</v>
      </c>
      <c r="I47" s="26">
        <f>'Cash Flow Analysis'!E22</f>
        <v>259274.58644919677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9723.0534586312406</v>
      </c>
      <c r="E49" s="25">
        <f t="shared" ref="E49:H49" si="16">E40-E47</f>
        <v>9743.8758349061263</v>
      </c>
      <c r="F49" s="25">
        <f t="shared" si="16"/>
        <v>9764.6982111810121</v>
      </c>
      <c r="G49" s="25">
        <f t="shared" si="16"/>
        <v>9785.5205874558978</v>
      </c>
      <c r="H49" s="25">
        <f t="shared" si="16"/>
        <v>-83078.067404431888</v>
      </c>
      <c r="I49" s="45">
        <f>'Cash Flow Analysis'!E24</f>
        <v>233417.42836246421</v>
      </c>
      <c r="J49" s="30"/>
    </row>
    <row r="50" spans="3:10">
      <c r="C50" s="42" t="s">
        <v>6</v>
      </c>
      <c r="D50" s="25">
        <f>J25+D49</f>
        <v>287201.40113335307</v>
      </c>
      <c r="E50" s="25">
        <f>D50+E49</f>
        <v>296945.27696825919</v>
      </c>
      <c r="F50" s="25">
        <f t="shared" ref="F50:H50" si="17">E50+F49</f>
        <v>306709.97517944023</v>
      </c>
      <c r="G50" s="25">
        <f t="shared" si="17"/>
        <v>316495.49576689611</v>
      </c>
      <c r="H50" s="25">
        <f t="shared" si="17"/>
        <v>233417.42836246424</v>
      </c>
      <c r="I50" s="45">
        <f>'Cash Flow Analysis'!E25</f>
        <v>233417.42836246421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53222.817561837073</v>
      </c>
      <c r="E58" s="48">
        <f>'Expanded Profit and Loss'!D84+'Expanded Profit and Loss'!D83</f>
        <v>53339.00493893028</v>
      </c>
      <c r="F58" s="48">
        <f>'Expanded Profit and Loss'!E84+'Expanded Profit and Loss'!E83</f>
        <v>53457.82618764451</v>
      </c>
      <c r="G58" s="48">
        <f>'Expanded Profit and Loss'!F84+'Expanded Profit and Loss'!F83</f>
        <v>53579.341015668251</v>
      </c>
      <c r="H58" s="46">
        <f>'Cash Flow Analysis'!F6</f>
        <v>213598.9897040801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17">
      <c r="C65" s="30"/>
      <c r="D65" s="30"/>
      <c r="E65" s="30"/>
      <c r="F65" s="30"/>
      <c r="G65" s="30"/>
      <c r="H65" s="30"/>
    </row>
    <row r="66" spans="3:17">
      <c r="C66" s="30"/>
      <c r="D66" s="30"/>
      <c r="E66" s="30"/>
      <c r="F66" s="30"/>
      <c r="G66" s="30"/>
      <c r="H66" s="30"/>
    </row>
    <row r="67" spans="3:17">
      <c r="C67" s="41" t="s">
        <v>18</v>
      </c>
      <c r="D67" s="48">
        <f>D58+D64</f>
        <v>55772.817561837073</v>
      </c>
      <c r="E67" s="48">
        <f t="shared" ref="E67:G67" si="19">E58+E64</f>
        <v>55889.00493893028</v>
      </c>
      <c r="F67" s="48">
        <f t="shared" si="19"/>
        <v>56007.82618764451</v>
      </c>
      <c r="G67" s="48">
        <f t="shared" si="19"/>
        <v>56129.341015668251</v>
      </c>
      <c r="H67" s="27">
        <f>'Cash Flow Analysis'!F15</f>
        <v>223798.9897040801</v>
      </c>
    </row>
    <row r="68" spans="3:17">
      <c r="C68" s="30"/>
      <c r="D68" s="30"/>
      <c r="E68" s="30"/>
      <c r="F68" s="30"/>
      <c r="G68" s="30"/>
      <c r="H68" s="30"/>
    </row>
    <row r="69" spans="3:17">
      <c r="C69" s="30" t="s">
        <v>24</v>
      </c>
      <c r="D69" s="30"/>
      <c r="E69" s="30"/>
      <c r="F69" s="30"/>
      <c r="G69" s="30"/>
      <c r="H69" s="30"/>
    </row>
    <row r="70" spans="3:17">
      <c r="C70" s="31" t="s">
        <v>68</v>
      </c>
      <c r="D70" s="50">
        <f>SUM('Loan Amortization Table'!C26:C28)</f>
        <v>5125.3472219395499</v>
      </c>
      <c r="E70" s="50">
        <f>SUM('Loan Amortization Table'!C29:C31)</f>
        <v>5241.5345990327514</v>
      </c>
      <c r="F70" s="50">
        <f>SUM('Loan Amortization Table'!C32:C34)</f>
        <v>5360.3558477469833</v>
      </c>
      <c r="G70" s="50">
        <f>SUM('Loan Amortization Table'!C35:C37)</f>
        <v>5481.8706757707223</v>
      </c>
      <c r="H70" s="32">
        <f>'Cash Flow Analysis'!F18</f>
        <v>21209.108344490007</v>
      </c>
    </row>
    <row r="71" spans="3:17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17">
      <c r="C72" s="31" t="s">
        <v>33</v>
      </c>
      <c r="D72" s="50">
        <f>H72</f>
        <v>10679.949485204006</v>
      </c>
      <c r="E72" s="50">
        <v>0</v>
      </c>
      <c r="F72" s="50">
        <v>0</v>
      </c>
      <c r="G72" s="50">
        <v>0</v>
      </c>
      <c r="H72" s="32">
        <f>'Cash Flow Analysis'!F20</f>
        <v>10679.949485204006</v>
      </c>
    </row>
    <row r="73" spans="3:17">
      <c r="C73" s="12" t="s">
        <v>32</v>
      </c>
      <c r="D73" s="49">
        <v>0</v>
      </c>
      <c r="E73" s="49">
        <v>0</v>
      </c>
      <c r="F73" s="49">
        <v>0</v>
      </c>
      <c r="G73" s="49">
        <f>H73</f>
        <v>149519.29279285605</v>
      </c>
      <c r="H73" s="13">
        <f>'Cash Flow Analysis'!F21</f>
        <v>149519.29279285605</v>
      </c>
    </row>
    <row r="74" spans="3:17">
      <c r="C74" s="37" t="s">
        <v>26</v>
      </c>
      <c r="D74" s="51">
        <f>SUM(D70:D73)</f>
        <v>17590.296707143556</v>
      </c>
      <c r="E74" s="51">
        <f t="shared" ref="E74:G74" si="20">SUM(E70:E73)</f>
        <v>7026.5345990327514</v>
      </c>
      <c r="F74" s="51">
        <f t="shared" si="20"/>
        <v>7145.3558477469833</v>
      </c>
      <c r="G74" s="51">
        <f t="shared" si="20"/>
        <v>156786.16346862676</v>
      </c>
      <c r="H74" s="34">
        <f>'Cash Flow Analysis'!F22</f>
        <v>188548.35062255006</v>
      </c>
    </row>
    <row r="75" spans="3:17">
      <c r="C75" s="30"/>
      <c r="D75" s="47"/>
      <c r="E75" s="47"/>
      <c r="F75" s="47"/>
      <c r="G75" s="47"/>
      <c r="H75" s="47"/>
    </row>
    <row r="76" spans="3:17">
      <c r="C76" s="42" t="s">
        <v>27</v>
      </c>
      <c r="D76" s="52">
        <f>D67-D74</f>
        <v>38182.520854693517</v>
      </c>
      <c r="E76" s="52">
        <f t="shared" ref="E76:G76" si="21">E67-E74</f>
        <v>48862.470339897525</v>
      </c>
      <c r="F76" s="52">
        <f t="shared" si="21"/>
        <v>48862.470339897525</v>
      </c>
      <c r="G76" s="52">
        <f t="shared" si="21"/>
        <v>-100656.82245295851</v>
      </c>
      <c r="H76" s="40">
        <f>'Cash Flow Analysis'!F24</f>
        <v>35250.63908153004</v>
      </c>
    </row>
    <row r="77" spans="3:17">
      <c r="C77" s="42" t="s">
        <v>6</v>
      </c>
      <c r="D77" s="52">
        <f>I50+D76</f>
        <v>271599.94921715773</v>
      </c>
      <c r="E77" s="52">
        <f>D77+E76</f>
        <v>320462.41955705523</v>
      </c>
      <c r="F77" s="52">
        <f t="shared" ref="F77:G77" si="22">E77+F76</f>
        <v>369324.88989695278</v>
      </c>
      <c r="G77" s="52">
        <f t="shared" si="22"/>
        <v>268668.06744399428</v>
      </c>
      <c r="H77" s="40">
        <f>'Cash Flow Analysis'!F25</f>
        <v>268668.06744399422</v>
      </c>
    </row>
    <row r="78" spans="3:17">
      <c r="Q78" s="112" t="s">
        <v>135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71042.525966801491</v>
      </c>
      <c r="E84" s="48">
        <f>'Expanded Profit and Loss'!D114+'Expanded Profit and Loss'!D113</f>
        <v>71169.612521288334</v>
      </c>
      <c r="F84" s="48">
        <f>'Expanded Profit and Loss'!E114+'Expanded Profit and Loss'!E113</f>
        <v>71299.580022721842</v>
      </c>
      <c r="G84" s="48">
        <f>'Expanded Profit and Loss'!F114+'Expanded Profit and Loss'!F113</f>
        <v>71432.493779783515</v>
      </c>
      <c r="H84" s="27">
        <f>'Cash Flow Analysis'!G6</f>
        <v>284944.21229059517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73643.525966801491</v>
      </c>
      <c r="E93" s="48">
        <f t="shared" ref="E93:G93" si="24">E90+E84</f>
        <v>73770.612521288334</v>
      </c>
      <c r="F93" s="48">
        <f t="shared" si="24"/>
        <v>73900.580022721842</v>
      </c>
      <c r="G93" s="48">
        <f t="shared" si="24"/>
        <v>74033.493779783515</v>
      </c>
      <c r="H93" s="27">
        <f>'Cash Flow Analysis'!G15</f>
        <v>295348.21229059517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5606.1401443162904</v>
      </c>
      <c r="E96" s="50">
        <f>SUM('Loan Amortization Table'!C41:C43)</f>
        <v>5733.2266988031342</v>
      </c>
      <c r="F96" s="50">
        <f>SUM('Loan Amortization Table'!C44:C46)</f>
        <v>5863.1942002366413</v>
      </c>
      <c r="G96" s="50">
        <f>SUM('Loan Amortization Table'!C47:C49)</f>
        <v>5996.1079572983081</v>
      </c>
      <c r="H96" s="32">
        <f>'Cash Flow Analysis'!G18</f>
        <v>23198.669000654372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14247.210614529758</v>
      </c>
      <c r="E98" s="50">
        <v>0</v>
      </c>
      <c r="F98" s="50">
        <v>0</v>
      </c>
      <c r="G98" s="50">
        <v>0</v>
      </c>
      <c r="H98" s="32">
        <f>'Cash Flow Analysis'!G20</f>
        <v>14247.210614529758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199460.94860341662</v>
      </c>
      <c r="H99" s="13">
        <f>'Cash Flow Analysis'!G21</f>
        <v>199460.94860341662</v>
      </c>
    </row>
    <row r="100" spans="3:8">
      <c r="C100" s="37" t="s">
        <v>26</v>
      </c>
      <c r="D100" s="51">
        <f>SUM(D96:D99)</f>
        <v>21674.05075884605</v>
      </c>
      <c r="E100" s="51">
        <f t="shared" ref="E100:G100" si="26">SUM(E96:E99)</f>
        <v>7553.9266988031341</v>
      </c>
      <c r="F100" s="51">
        <f t="shared" si="26"/>
        <v>7683.8942002366412</v>
      </c>
      <c r="G100" s="51">
        <f t="shared" si="26"/>
        <v>207277.75656071492</v>
      </c>
      <c r="H100" s="34">
        <f>'Cash Flow Analysis'!G22</f>
        <v>244189.62821860076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51969.475207955446</v>
      </c>
      <c r="E102" s="52">
        <f t="shared" ref="E102:G102" si="27">E93-E100</f>
        <v>66216.685822485204</v>
      </c>
      <c r="F102" s="52">
        <f t="shared" si="27"/>
        <v>66216.685822485204</v>
      </c>
      <c r="G102" s="52">
        <f t="shared" si="27"/>
        <v>-133244.2627809314</v>
      </c>
      <c r="H102" s="40">
        <f>'Cash Flow Analysis'!G24</f>
        <v>51158.58407199441</v>
      </c>
    </row>
    <row r="103" spans="3:8">
      <c r="C103" s="42" t="s">
        <v>6</v>
      </c>
      <c r="D103" s="52">
        <f>G77+D102</f>
        <v>320637.54265194974</v>
      </c>
      <c r="E103" s="52">
        <f>D103+E102</f>
        <v>386854.22847443493</v>
      </c>
      <c r="F103" s="52">
        <f t="shared" ref="F103:G103" si="28">E103+F102</f>
        <v>453070.91429692012</v>
      </c>
      <c r="G103" s="52">
        <f t="shared" si="28"/>
        <v>319826.65151598875</v>
      </c>
      <c r="H103" s="40">
        <f>'Cash Flow Analysis'!G25</f>
        <v>319826.65151598863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2025-10-07T14:32:58Z</dcterms:modified>
</cp:coreProperties>
</file>