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Boat Rental Service\"/>
    </mc:Choice>
  </mc:AlternateContent>
  <xr:revisionPtr revIDLastSave="0" documentId="13_ncr:1_{DF09401C-94F2-4E67-BD8B-9EE4C5C17843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7" l="1"/>
  <c r="M41" i="7"/>
  <c r="L32" i="7"/>
  <c r="M32" i="7"/>
  <c r="L33" i="7"/>
  <c r="M33" i="7"/>
  <c r="L34" i="7"/>
  <c r="M34" i="7"/>
  <c r="L35" i="7"/>
  <c r="M35" i="7"/>
  <c r="L36" i="7"/>
  <c r="M36" i="7"/>
  <c r="L37" i="7"/>
  <c r="M37" i="7"/>
  <c r="L38" i="7"/>
  <c r="M38" i="7"/>
  <c r="L39" i="7"/>
  <c r="M39" i="7"/>
  <c r="L40" i="7"/>
  <c r="M40" i="7"/>
  <c r="C21" i="23"/>
  <c r="C33" i="23"/>
  <c r="E20" i="3"/>
  <c r="H8" i="14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G6" i="7"/>
  <c r="D33" i="23" l="1"/>
  <c r="D52" i="23" s="1"/>
  <c r="H36" i="12"/>
  <c r="H37" i="12" s="1"/>
  <c r="F19" i="3"/>
  <c r="E36" i="12"/>
  <c r="E37" i="12" s="1"/>
  <c r="G8" i="14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E17" i="2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1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C19" i="23" l="1"/>
  <c r="C20" i="23"/>
  <c r="C22" i="23"/>
  <c r="F6" i="2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E16" i="2"/>
  <c r="H44" i="11" s="1"/>
  <c r="E18" i="2"/>
  <c r="H46" i="11" s="1"/>
  <c r="H34" i="11"/>
  <c r="H38" i="11" s="1"/>
  <c r="E15" i="2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<sst xmlns="http://schemas.openxmlformats.org/spreadsheetml/2006/main" count="321" uniqueCount="140">
  <si>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</si>
  <si>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</si>
  <si>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</si>
  <si>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</si>
  <si>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</si>
  <si>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</si>
  <si>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</si>
  <si>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</si>
  <si>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</si>
  <si>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</si>
  <si>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</si>
  <si>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</si>
  <si>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</si>
  <si>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</si>
  <si>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</si>
  <si>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</si>
  <si>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</si>
  <si>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</si>
  <si>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</si>
  <si>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</si>
  <si>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</si>
  <si>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</si>
  <si>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</si>
  <si>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</si>
  <si>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</si>
  <si>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</si>
  <si>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</si>
  <si>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</si>
  <si>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</si>
  <si>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</si>
  <si>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</si>
  <si>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</si>
  <si>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</si>
  <si>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</si>
  <si>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</si>
  <si>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</si>
  <si>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</si>
  <si>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</si>
  <si>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</si>
  <si>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</si>
  <si>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</si>
  <si>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</si>
  <si>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</si>
  <si>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</si>
  <si>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</si>
  <si>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</si>
  <si>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</si>
  <si>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</si>
  <si>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</si>
  <si>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</si>
  <si>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</si>
  <si>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</si>
  <si>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</si>
  <si>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</si>
  <si>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</si>
  <si>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</si>
  <si>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</si>
  <si>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</si>
  <si>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</si>
  <si>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</si>
  <si>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</si>
  <si>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</si>
  <si>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</si>
  <si>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</si>
  <si>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</si>
  <si>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</si>
  <si>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</si>
  <si>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</si>
  <si>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</si>
  <si>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</si>
  <si>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</si>
  <si>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</si>
  <si>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</si>
  <si>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</si>
  <si>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</si>
  <si>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</si>
  <si>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</si>
  <si>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</si>
  <si>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</si>
  <si>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</si>
  <si>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</si>
  <si>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</si>
  <si>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</si>
  <si>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</si>
  <si>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</si>
  <si>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</si>
  <si>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</si>
  <si>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</si>
  <si>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</si>
  <si>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</si>
  <si>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</si>
  <si>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</si>
  <si>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</si>
  <si>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</si>
  <si>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</si>
  <si>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</si>
  <si>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</si>
  <si>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</si>
  <si>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</si>
  <si>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</si>
  <si>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</si>
  <si>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</si>
  <si>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</si>
  <si>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</si>
  <si>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</si>
  <si>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</si>
  <si>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</si>
  <si>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</si>
  <si>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</si>
  <si>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</si>
  <si>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</si>
  <si>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</si>
  <si>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</si>
  <si>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</si>
  <si>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</si>
  <si>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</si>
  <si>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</si>
  <si>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</si>
  <si>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</si>
  <si>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</si>
  <si>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</si>
  <si>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</si>
  <si>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</si>
  <si>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</si>
  <si>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</si>
  <si>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</si>
  <si>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Postiion 7</t>
  </si>
  <si>
    <t>Postiion 8</t>
  </si>
  <si>
    <t>Postiion 9</t>
  </si>
  <si>
    <t>Fixed Assets</t>
  </si>
  <si>
    <t>Yearly Growth Rate</t>
  </si>
  <si>
    <t>Administrative Staff</t>
  </si>
  <si>
    <t>Location Staff</t>
  </si>
  <si>
    <t>Bookkeeper</t>
  </si>
  <si>
    <t>Location Development</t>
  </si>
  <si>
    <t>Boats and Power Watercraft</t>
  </si>
  <si>
    <t>Excursions</t>
  </si>
  <si>
    <t>Boat and Watercraft Rentals</t>
  </si>
  <si>
    <t>6021 Media Holdings Inc.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</si>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</sst>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137787.98411727915</c:v>
                </c:pt>
                <c:pt idx="1">
                  <c:v>172950.67444893907</c:v>
                </c:pt>
                <c:pt idx="2">
                  <c:v>211987.12062512361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33592.954334905924</c:v>
                </c:pt>
                <c:pt idx="1">
                  <c:v>36471.606434419933</c:v>
                </c:pt>
                <c:pt idx="2">
                  <c:v>39596.936388683527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96451.588882095399</c:v>
                </c:pt>
                <c:pt idx="1">
                  <c:v>121065.47211425734</c:v>
                </c:pt>
                <c:pt idx="2">
                  <c:v>148390.98443758651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137787.98411727915</c:v>
                </c:pt>
                <c:pt idx="1">
                  <c:v>172950.67444893907</c:v>
                </c:pt>
                <c:pt idx="2">
                  <c:v>211987.12062512361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895-4EF5-873B-D974381E043F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895-4EF5-873B-D974381E043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96451.588882095399</c:v>
                </c:pt>
                <c:pt idx="1">
                  <c:v>121065.47211425734</c:v>
                </c:pt>
                <c:pt idx="2">
                  <c:v>148390.98443758651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576221.14090027788</c:v>
                </c:pt>
                <c:pt idx="1">
                  <c:v>560131.99080053973</c:v>
                </c:pt>
                <c:pt idx="2">
                  <c:v>552648.38967939327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9-4B0E-9B8A-58D576534847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467384.74566509406</c:v>
                </c:pt>
                <c:pt idx="1">
                  <c:v>431910.39323067403</c:v>
                </c:pt>
                <c:pt idx="2">
                  <c:v>393330.65592199058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39-4B0E-9B8A-58D576534847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108836.39523518382</c:v>
                </c:pt>
                <c:pt idx="1">
                  <c:v>128221.5975698657</c:v>
                </c:pt>
                <c:pt idx="2">
                  <c:v>159317.73375740269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9-4B0E-9B8A-58D57653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Boat and Watercraft Rentals</c:v>
                </c:pt>
                <c:pt idx="1">
                  <c:v>Excursions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0.64516129032258063</c:v>
                </c:pt>
                <c:pt idx="1">
                  <c:v>0.35483870967741937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418403.86673684214</c:v>
                </c:pt>
                <c:pt idx="1">
                  <c:v>433862.40077894734</c:v>
                </c:pt>
                <c:pt idx="2">
                  <c:v>450285.85896210524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418403.86673684214</c:v>
                </c:pt>
                <c:pt idx="1">
                  <c:v>433862.40077894734</c:v>
                </c:pt>
                <c:pt idx="2">
                  <c:v>450285.85896210524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653046</c:v>
                </c:pt>
                <c:pt idx="1">
                  <c:v>718350.60000000009</c:v>
                </c:pt>
                <c:pt idx="2">
                  <c:v>790185.66000000015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397483.67340000003</c:v>
                </c:pt>
                <c:pt idx="1">
                  <c:v>412169.28073999996</c:v>
                </c:pt>
                <c:pt idx="2">
                  <c:v>427771.56601399998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222910.02659999992</c:v>
                </c:pt>
                <c:pt idx="1">
                  <c:v>270263.78926000011</c:v>
                </c:pt>
                <c:pt idx="2">
                  <c:v>322904.81098600011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653046</c:v>
                </c:pt>
                <c:pt idx="1">
                  <c:v>718350.60000000009</c:v>
                </c:pt>
                <c:pt idx="2">
                  <c:v>790185.66000000015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222910.02659999992</c:v>
                </c:pt>
                <c:pt idx="1">
                  <c:v>270263.78926000011</c:v>
                </c:pt>
                <c:pt idx="2">
                  <c:v>322904.81098600011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2191400832177532E-2"/>
                  <c:y val="-0.136860801882523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397483.67340000003</c:v>
                </c:pt>
                <c:pt idx="1">
                  <c:v>412169.28073999996</c:v>
                </c:pt>
                <c:pt idx="2">
                  <c:v>427771.56601399998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Boat and Watercraft Rentals</c:v>
                </c:pt>
                <c:pt idx="1">
                  <c:v>Excursions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0.64516129032258063</c:v>
                </c:pt>
                <c:pt idx="1">
                  <c:v>0.35483870967741937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576221.14090027788</c:v>
                </c:pt>
                <c:pt idx="1">
                  <c:v>560131.99080053973</c:v>
                </c:pt>
                <c:pt idx="2">
                  <c:v>552648.38967939327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B6F-86F9-B80B82AA994D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467384.74566509406</c:v>
                </c:pt>
                <c:pt idx="1">
                  <c:v>431910.39323067403</c:v>
                </c:pt>
                <c:pt idx="2">
                  <c:v>393330.65592199058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B6F-86F9-B80B82AA994D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108836.39523518382</c:v>
                </c:pt>
                <c:pt idx="1">
                  <c:v>128221.5975698657</c:v>
                </c:pt>
                <c:pt idx="2">
                  <c:v>159317.73375740269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B6F-86F9-B80B82AA9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1739184"/>
        <c:axId val="431145712"/>
      </c:barChart>
      <c:catAx>
        <c:axId val="198173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145712"/>
        <c:crosses val="autoZero"/>
        <c:auto val="1"/>
        <c:lblAlgn val="ctr"/>
        <c:lblOffset val="100"/>
        <c:noMultiLvlLbl val="0"/>
      </c:catAx>
      <c:valAx>
        <c:axId val="43114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73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Location Staff</c:v>
                </c:pt>
                <c:pt idx="3">
                  <c:v>Bookkeeper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0.25</c:v>
                </c:pt>
                <c:pt idx="1">
                  <c:v>0.16666666666666666</c:v>
                </c:pt>
                <c:pt idx="2">
                  <c:v>0.35</c:v>
                </c:pt>
                <c:pt idx="3">
                  <c:v>0.1</c:v>
                </c:pt>
                <c:pt idx="4">
                  <c:v>0.13333333333333333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Boats and Power Watercraft</c:v>
                </c:pt>
                <c:pt idx="1">
                  <c:v>Location Development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450000</c:v>
                </c:pt>
                <c:pt idx="1">
                  <c:v>75000</c:v>
                </c:pt>
                <c:pt idx="2">
                  <c:v>25000</c:v>
                </c:pt>
                <c:pt idx="3">
                  <c:v>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653046</c:v>
                </c:pt>
                <c:pt idx="1">
                  <c:v>718350.60000000009</c:v>
                </c:pt>
                <c:pt idx="2">
                  <c:v>790185.66000000015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397483.67340000003</c:v>
                </c:pt>
                <c:pt idx="1">
                  <c:v>412169.28073999996</c:v>
                </c:pt>
                <c:pt idx="2">
                  <c:v>427771.56601399998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222910.02659999992</c:v>
                </c:pt>
                <c:pt idx="1">
                  <c:v>270263.78926000011</c:v>
                </c:pt>
                <c:pt idx="2">
                  <c:v>322904.81098600011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653046</c:v>
                </c:pt>
                <c:pt idx="1">
                  <c:v>718350.60000000009</c:v>
                </c:pt>
                <c:pt idx="2">
                  <c:v>790185.66000000015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222910.02659999992</c:v>
                </c:pt>
                <c:pt idx="1">
                  <c:v>270263.78926000011</c:v>
                </c:pt>
                <c:pt idx="2">
                  <c:v>322904.81098600011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397483.67340000003</c:v>
                </c:pt>
                <c:pt idx="1">
                  <c:v>412169.28073999996</c:v>
                </c:pt>
                <c:pt idx="2">
                  <c:v>427771.56601399998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137787.98411727915</c:v>
                </c:pt>
                <c:pt idx="1">
                  <c:v>172950.67444893907</c:v>
                </c:pt>
                <c:pt idx="2">
                  <c:v>211987.12062512361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33592.954334905924</c:v>
                </c:pt>
                <c:pt idx="1">
                  <c:v>36471.606434419933</c:v>
                </c:pt>
                <c:pt idx="2">
                  <c:v>39596.936388683527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96451.588882095399</c:v>
                </c:pt>
                <c:pt idx="1">
                  <c:v>121065.47211425734</c:v>
                </c:pt>
                <c:pt idx="2">
                  <c:v>148390.98443758651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137787.98411727915</c:v>
                </c:pt>
                <c:pt idx="1">
                  <c:v>172950.67444893907</c:v>
                </c:pt>
                <c:pt idx="2">
                  <c:v>211987.12062512361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1A60-46D4-9BC5-DCF49AB646BE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1A60-46D4-9BC5-DCF49AB646B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96451.588882095399</c:v>
                </c:pt>
                <c:pt idx="1">
                  <c:v>121065.47211425734</c:v>
                </c:pt>
                <c:pt idx="2">
                  <c:v>148390.98443758651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576221.14090027788</c:v>
                </c:pt>
                <c:pt idx="1">
                  <c:v>467384.74566509406</c:v>
                </c:pt>
                <c:pt idx="2">
                  <c:v>108836.39523518382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560131.99080053973</c:v>
                </c:pt>
                <c:pt idx="1">
                  <c:v>431910.39323067403</c:v>
                </c:pt>
                <c:pt idx="2">
                  <c:v>128221.5975698657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552648.38967939327</c:v>
                </c:pt>
                <c:pt idx="1">
                  <c:v>393330.65592199058</c:v>
                </c:pt>
                <c:pt idx="2">
                  <c:v>159317.73375740269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438150</xdr:colOff>
      <xdr:row>1</xdr:row>
      <xdr:rowOff>190499</xdr:rowOff>
    </xdr:from>
    <xdr:to>
      <xdr:col>21</xdr:col>
      <xdr:colOff>247650</xdr:colOff>
      <xdr:row>13</xdr:row>
      <xdr:rowOff>19048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DEB430-F014-45C6-9FF4-F75CE53FC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485775</xdr:colOff>
      <xdr:row>28</xdr:row>
      <xdr:rowOff>152400</xdr:rowOff>
    </xdr:from>
    <xdr:to>
      <xdr:col>20</xdr:col>
      <xdr:colOff>266700</xdr:colOff>
      <xdr:row>39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821D3E-22D0-4F8A-A069-05C73F02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9300" y="5486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1</xdr:row>
      <xdr:rowOff>0</xdr:rowOff>
    </xdr:from>
    <xdr:to>
      <xdr:col>22</xdr:col>
      <xdr:colOff>295275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B83CB8-BB8C-478A-9180-F3EB4F622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190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276225</xdr:colOff>
      <xdr:row>1</xdr:row>
      <xdr:rowOff>161925</xdr:rowOff>
    </xdr:from>
    <xdr:to>
      <xdr:col>26</xdr:col>
      <xdr:colOff>57150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6E105-77C1-4A91-ACF2-A5EAF7D25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352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8</xdr:row>
      <xdr:rowOff>185737</xdr:rowOff>
    </xdr:from>
    <xdr:to>
      <xdr:col>10</xdr:col>
      <xdr:colOff>171450</xdr:colOff>
      <xdr:row>23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514350</xdr:colOff>
      <xdr:row>0</xdr:row>
      <xdr:rowOff>95250</xdr:rowOff>
    </xdr:from>
    <xdr:to>
      <xdr:col>25</xdr:col>
      <xdr:colOff>295275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05E4E3-AF93-4C28-A3C8-B8DD66C9D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276225</xdr:colOff>
      <xdr:row>0</xdr:row>
      <xdr:rowOff>123825</xdr:rowOff>
    </xdr:from>
    <xdr:to>
      <xdr:col>26</xdr:col>
      <xdr:colOff>57150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03623-89A8-4BFE-B62B-426F018E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1238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38100</xdr:colOff>
      <xdr:row>3</xdr:row>
      <xdr:rowOff>19050</xdr:rowOff>
    </xdr:from>
    <xdr:to>
      <xdr:col>5</xdr:col>
      <xdr:colOff>800100</xdr:colOff>
      <xdr:row>14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70D0E0-29C2-46D8-9E72-C4431B232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5905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571500</xdr:colOff>
      <xdr:row>0</xdr:row>
      <xdr:rowOff>0</xdr:rowOff>
    </xdr:from>
    <xdr:to>
      <xdr:col>26</xdr:col>
      <xdr:colOff>352425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09FBA-B2C7-4A08-9340-9EE51B3D3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43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209550</xdr:colOff>
      <xdr:row>0</xdr:row>
      <xdr:rowOff>66675</xdr:rowOff>
    </xdr:from>
    <xdr:to>
      <xdr:col>23</xdr:col>
      <xdr:colOff>600075</xdr:colOff>
      <xdr:row>11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C6E87-8431-49B4-8603-5E5F2AFA2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66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209550</xdr:colOff>
      <xdr:row>0</xdr:row>
      <xdr:rowOff>47625</xdr:rowOff>
    </xdr:from>
    <xdr:to>
      <xdr:col>24</xdr:col>
      <xdr:colOff>600075</xdr:colOff>
      <xdr:row>11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98156-A57D-4E67-8C8F-3E9F81CFD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476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4</xdr:row>
      <xdr:rowOff>42862</xdr:rowOff>
    </xdr:from>
    <xdr:to>
      <xdr:col>14</xdr:col>
      <xdr:colOff>257175</xdr:colOff>
      <xdr:row>18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EAC52-417E-6471-38B2-761D51EEC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200025</xdr:colOff>
      <xdr:row>2</xdr:row>
      <xdr:rowOff>9525</xdr:rowOff>
    </xdr:from>
    <xdr:to>
      <xdr:col>23</xdr:col>
      <xdr:colOff>590550</xdr:colOff>
      <xdr:row>13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289567-E76D-4EA7-A899-967351F8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5125" y="390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523875</xdr:colOff>
      <xdr:row>0</xdr:row>
      <xdr:rowOff>104775</xdr:rowOff>
    </xdr:from>
    <xdr:to>
      <xdr:col>24</xdr:col>
      <xdr:colOff>304800</xdr:colOff>
      <xdr:row>11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DA362-B978-4646-AF45-D19138375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5650" y="1047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428625</xdr:colOff>
      <xdr:row>0</xdr:row>
      <xdr:rowOff>123825</xdr:rowOff>
    </xdr:from>
    <xdr:to>
      <xdr:col>25</xdr:col>
      <xdr:colOff>209550</xdr:colOff>
      <xdr:row>11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E3DC7-F519-45C4-8CBC-F9EEA69A2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1238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200025</xdr:colOff>
      <xdr:row>17</xdr:row>
      <xdr:rowOff>0</xdr:rowOff>
    </xdr:from>
    <xdr:to>
      <xdr:col>12</xdr:col>
      <xdr:colOff>495300</xdr:colOff>
      <xdr:row>28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53BC00-C9FF-45C6-8C66-E5F061302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238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S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4"/>
      <c r="C3" s="144"/>
      <c r="D3" s="144"/>
      <c r="E3" s="144"/>
    </row>
    <row r="4" spans="2:5">
      <c r="B4" s="145" t="s">
        <v>111</v>
      </c>
      <c r="C4" s="145" t="s">
        <v>57</v>
      </c>
      <c r="D4" s="145" t="s">
        <v>10</v>
      </c>
      <c r="E4" s="145" t="s">
        <v>8</v>
      </c>
    </row>
    <row r="5" spans="2:5">
      <c r="B5" s="66" t="s">
        <v>137</v>
      </c>
      <c r="C5" s="146">
        <v>0.05</v>
      </c>
      <c r="D5" s="146">
        <v>0.95</v>
      </c>
      <c r="E5" s="146">
        <f>C5+D5</f>
        <v>1</v>
      </c>
    </row>
    <row r="6" spans="2:5">
      <c r="B6" s="66" t="s">
        <v>136</v>
      </c>
      <c r="C6" s="146">
        <v>0.05</v>
      </c>
      <c r="D6" s="146">
        <v>0.95</v>
      </c>
      <c r="E6" s="146">
        <f t="shared" ref="E6:E12" si="0">C6+D6</f>
        <v>1</v>
      </c>
    </row>
    <row r="7" spans="2:5">
      <c r="B7" s="66" t="s">
        <v>103</v>
      </c>
      <c r="C7" s="146">
        <v>0.05</v>
      </c>
      <c r="D7" s="146">
        <v>0.95</v>
      </c>
      <c r="E7" s="146">
        <f t="shared" si="0"/>
        <v>1</v>
      </c>
    </row>
    <row r="8" spans="2:5">
      <c r="B8" s="66" t="s">
        <v>104</v>
      </c>
      <c r="C8" s="146">
        <v>0.05</v>
      </c>
      <c r="D8" s="146">
        <v>0.95</v>
      </c>
      <c r="E8" s="146">
        <f t="shared" si="0"/>
        <v>1</v>
      </c>
    </row>
    <row r="9" spans="2:5">
      <c r="B9" s="66" t="s">
        <v>105</v>
      </c>
      <c r="C9" s="146">
        <v>0.05</v>
      </c>
      <c r="D9" s="146">
        <v>0.95</v>
      </c>
      <c r="E9" s="146">
        <f t="shared" si="0"/>
        <v>1</v>
      </c>
    </row>
    <row r="10" spans="2:5">
      <c r="B10" s="66" t="s">
        <v>106</v>
      </c>
      <c r="C10" s="146">
        <v>0.05</v>
      </c>
      <c r="D10" s="146">
        <v>0.95</v>
      </c>
      <c r="E10" s="146">
        <f t="shared" si="0"/>
        <v>1</v>
      </c>
    </row>
    <row r="11" spans="2:5">
      <c r="B11" s="66" t="s">
        <v>107</v>
      </c>
      <c r="C11" s="146">
        <v>0.05</v>
      </c>
      <c r="D11" s="146">
        <v>0.95</v>
      </c>
      <c r="E11" s="146">
        <f t="shared" si="0"/>
        <v>1</v>
      </c>
    </row>
    <row r="12" spans="2:5">
      <c r="B12" s="66" t="s">
        <v>108</v>
      </c>
      <c r="C12" s="146">
        <v>0.05</v>
      </c>
      <c r="D12" s="146">
        <v>0.95</v>
      </c>
      <c r="E12" s="146">
        <f t="shared" si="0"/>
        <v>1</v>
      </c>
    </row>
    <row r="13" spans="2:5">
      <c r="B13" s="66" t="s">
        <v>109</v>
      </c>
      <c r="C13" s="146">
        <v>0.05</v>
      </c>
      <c r="D13" s="146">
        <v>0.95</v>
      </c>
      <c r="E13" s="146">
        <f t="shared" ref="E13:E14" si="1">C13+D13</f>
        <v>1</v>
      </c>
    </row>
    <row r="14" spans="2:5">
      <c r="B14" s="66" t="s">
        <v>110</v>
      </c>
      <c r="C14" s="146">
        <v>0.05</v>
      </c>
      <c r="D14" s="146">
        <v>0.95</v>
      </c>
      <c r="E14" s="146">
        <f t="shared" si="1"/>
        <v>1</v>
      </c>
    </row>
    <row r="16" spans="2:5">
      <c r="B16" s="144"/>
      <c r="C16" s="144"/>
      <c r="D16" s="144"/>
      <c r="E16" s="144"/>
    </row>
    <row r="17" spans="2:14">
      <c r="B17" s="145" t="s">
        <v>112</v>
      </c>
      <c r="C17" s="145">
        <v>1</v>
      </c>
      <c r="D17" s="145">
        <v>2</v>
      </c>
      <c r="E17" s="145">
        <v>3</v>
      </c>
    </row>
    <row r="18" spans="2:14">
      <c r="B18" s="70" t="s">
        <v>117</v>
      </c>
      <c r="C18" s="94">
        <v>26018</v>
      </c>
      <c r="D18" s="94">
        <f>C18*1.03</f>
        <v>26798.54</v>
      </c>
      <c r="E18" s="94">
        <f>D18*1.03</f>
        <v>27602.496200000001</v>
      </c>
    </row>
    <row r="19" spans="2:14">
      <c r="B19" s="70" t="s">
        <v>50</v>
      </c>
      <c r="C19" s="94">
        <f>'Profit and Loss Statement'!E6*0.0157</f>
        <v>10252.822199999999</v>
      </c>
      <c r="D19" s="94">
        <f>'Profit and Loss Statement'!F6*0.0157</f>
        <v>11278.10442</v>
      </c>
      <c r="E19" s="94">
        <f>'Profit and Loss Statement'!G6*0.0157</f>
        <v>12405.914862000001</v>
      </c>
    </row>
    <row r="20" spans="2:14">
      <c r="B20" s="70" t="s">
        <v>120</v>
      </c>
      <c r="C20" s="94">
        <f>'Profit and Loss Statement'!E6*0.0152</f>
        <v>9926.2991999999995</v>
      </c>
      <c r="D20" s="94">
        <f>'Profit and Loss Statement'!F6*0.0152</f>
        <v>10918.929120000001</v>
      </c>
      <c r="E20" s="94">
        <f>'Profit and Loss Statement'!G6*0.0152</f>
        <v>12010.822032000002</v>
      </c>
    </row>
    <row r="21" spans="2:14">
      <c r="B21" s="70" t="s">
        <v>49</v>
      </c>
      <c r="C21" s="94">
        <f>'Personnel - Editable'!H16*0.06</f>
        <v>18000</v>
      </c>
      <c r="D21" s="94">
        <f>'Personnel - Editable'!I16*0.06</f>
        <v>18540</v>
      </c>
      <c r="E21" s="94">
        <f>'Personnel - Editable'!J16*0.06</f>
        <v>19096.2</v>
      </c>
      <c r="F21" s="119"/>
      <c r="G21" s="119"/>
    </row>
    <row r="22" spans="2:14">
      <c r="B22" s="70" t="s">
        <v>118</v>
      </c>
      <c r="C22" s="94">
        <f>'Profit and Loss Statement'!E6*0.012</f>
        <v>7836.5520000000006</v>
      </c>
      <c r="D22" s="94">
        <f>'Profit and Loss Statement'!F6*0.012</f>
        <v>8620.2072000000007</v>
      </c>
      <c r="E22" s="94">
        <f>'Profit and Loss Statement'!G6*0.012</f>
        <v>9482.2279200000012</v>
      </c>
      <c r="F22" s="1"/>
      <c r="G22" s="1"/>
    </row>
    <row r="23" spans="2:14">
      <c r="B23" s="70" t="s">
        <v>1</v>
      </c>
      <c r="C23" s="94">
        <v>2500</v>
      </c>
      <c r="D23" s="94">
        <f>C23*1.35</f>
        <v>3375</v>
      </c>
      <c r="E23" s="94">
        <f>D23*1.35</f>
        <v>4556.25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Boat and Watercraft Rentals</v>
      </c>
      <c r="C32" s="94">
        <v>35000</v>
      </c>
      <c r="D32" s="94">
        <f>C32+20</f>
        <v>35020</v>
      </c>
      <c r="E32" s="94">
        <f t="shared" ref="E32:N32" si="4">D32+20</f>
        <v>35040</v>
      </c>
      <c r="F32" s="94">
        <f t="shared" si="4"/>
        <v>35060</v>
      </c>
      <c r="G32" s="94">
        <f t="shared" si="4"/>
        <v>35080</v>
      </c>
      <c r="H32" s="94">
        <f t="shared" si="4"/>
        <v>35100</v>
      </c>
      <c r="I32" s="94">
        <f t="shared" si="4"/>
        <v>35120</v>
      </c>
      <c r="J32" s="94">
        <f t="shared" si="4"/>
        <v>35140</v>
      </c>
      <c r="K32" s="94">
        <f t="shared" si="4"/>
        <v>35160</v>
      </c>
      <c r="L32" s="94">
        <f t="shared" si="4"/>
        <v>35180</v>
      </c>
      <c r="M32" s="94">
        <f t="shared" si="4"/>
        <v>35200</v>
      </c>
      <c r="N32" s="94">
        <f t="shared" si="4"/>
        <v>35220</v>
      </c>
    </row>
    <row r="33" spans="2:19">
      <c r="B33" s="66" t="str">
        <f t="shared" si="3"/>
        <v>Excursions</v>
      </c>
      <c r="C33" s="94">
        <f>C32*0.55</f>
        <v>19250</v>
      </c>
      <c r="D33" s="94">
        <f t="shared" ref="D33:N33" si="5">D32*0.55</f>
        <v>19261</v>
      </c>
      <c r="E33" s="94">
        <f t="shared" si="5"/>
        <v>19272</v>
      </c>
      <c r="F33" s="94">
        <f t="shared" si="5"/>
        <v>19283</v>
      </c>
      <c r="G33" s="94">
        <f t="shared" si="5"/>
        <v>19294</v>
      </c>
      <c r="H33" s="94">
        <f t="shared" si="5"/>
        <v>19305</v>
      </c>
      <c r="I33" s="94">
        <f t="shared" si="5"/>
        <v>19316</v>
      </c>
      <c r="J33" s="94">
        <f t="shared" si="5"/>
        <v>19327</v>
      </c>
      <c r="K33" s="94">
        <f t="shared" si="5"/>
        <v>19338</v>
      </c>
      <c r="L33" s="94">
        <f t="shared" si="5"/>
        <v>19349</v>
      </c>
      <c r="M33" s="94">
        <f t="shared" si="5"/>
        <v>19360</v>
      </c>
      <c r="N33" s="94">
        <f t="shared" si="5"/>
        <v>19371</v>
      </c>
    </row>
    <row r="34" spans="2:19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9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9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9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9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9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9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9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9">
      <c r="B42" s="151" t="s">
        <v>8</v>
      </c>
      <c r="C42" s="152">
        <f>SUM(C32:C41)</f>
        <v>54250</v>
      </c>
      <c r="D42" s="152">
        <f t="shared" ref="D42:N42" si="6">SUM(D32:D41)</f>
        <v>54281</v>
      </c>
      <c r="E42" s="152">
        <f t="shared" si="6"/>
        <v>54312</v>
      </c>
      <c r="F42" s="152">
        <f t="shared" si="6"/>
        <v>54343</v>
      </c>
      <c r="G42" s="152">
        <f t="shared" si="6"/>
        <v>54374</v>
      </c>
      <c r="H42" s="152">
        <f t="shared" si="6"/>
        <v>54405</v>
      </c>
      <c r="I42" s="152">
        <f t="shared" si="6"/>
        <v>54436</v>
      </c>
      <c r="J42" s="152">
        <f t="shared" si="6"/>
        <v>54467</v>
      </c>
      <c r="K42" s="152">
        <f t="shared" si="6"/>
        <v>54498</v>
      </c>
      <c r="L42" s="152">
        <f t="shared" si="6"/>
        <v>54529</v>
      </c>
      <c r="M42" s="152">
        <f t="shared" si="6"/>
        <v>54560</v>
      </c>
      <c r="N42" s="152">
        <f t="shared" si="6"/>
        <v>54591</v>
      </c>
    </row>
    <row r="43" spans="2:19">
      <c r="Q43" s="153" t="s">
        <v>139</v>
      </c>
    </row>
    <row r="44" spans="2:19">
      <c r="B44" s="144"/>
      <c r="C44" s="144"/>
    </row>
    <row r="45" spans="2:19">
      <c r="B45" s="145" t="s">
        <v>130</v>
      </c>
      <c r="C45" s="145"/>
      <c r="S45" s="112" t="s">
        <v>138</v>
      </c>
    </row>
    <row r="46" spans="2:19">
      <c r="B46" s="66" t="s">
        <v>3</v>
      </c>
      <c r="C46" s="143">
        <v>0.1</v>
      </c>
    </row>
    <row r="47" spans="2:19">
      <c r="B47" s="66" t="s">
        <v>4</v>
      </c>
      <c r="C47" s="143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Boat and Watercraft Rentals</v>
      </c>
      <c r="C51" s="114">
        <f t="shared" ref="C51:N51" si="9">C32*($C$5/$E$5)</f>
        <v>1750</v>
      </c>
      <c r="D51" s="114">
        <f t="shared" si="9"/>
        <v>1751</v>
      </c>
      <c r="E51" s="114">
        <f t="shared" si="9"/>
        <v>1752</v>
      </c>
      <c r="F51" s="114">
        <f t="shared" si="9"/>
        <v>1753</v>
      </c>
      <c r="G51" s="114">
        <f t="shared" si="9"/>
        <v>1754</v>
      </c>
      <c r="H51" s="114">
        <f t="shared" si="9"/>
        <v>1755</v>
      </c>
      <c r="I51" s="114">
        <f t="shared" si="9"/>
        <v>1756</v>
      </c>
      <c r="J51" s="114">
        <f t="shared" si="9"/>
        <v>1757</v>
      </c>
      <c r="K51" s="114">
        <f t="shared" si="9"/>
        <v>1758</v>
      </c>
      <c r="L51" s="114">
        <f t="shared" si="9"/>
        <v>1759</v>
      </c>
      <c r="M51" s="114">
        <f t="shared" si="9"/>
        <v>1760</v>
      </c>
      <c r="N51" s="114">
        <f t="shared" si="9"/>
        <v>1761</v>
      </c>
    </row>
    <row r="52" spans="2:14">
      <c r="B52" s="112" t="str">
        <f t="shared" si="8"/>
        <v>Excursions</v>
      </c>
      <c r="C52" s="114">
        <f t="shared" ref="C52:N52" si="10">C33*($C$6/$E$6)</f>
        <v>962.5</v>
      </c>
      <c r="D52" s="114">
        <f t="shared" si="10"/>
        <v>963.05000000000007</v>
      </c>
      <c r="E52" s="114">
        <f t="shared" si="10"/>
        <v>963.6</v>
      </c>
      <c r="F52" s="114">
        <f t="shared" si="10"/>
        <v>964.15000000000009</v>
      </c>
      <c r="G52" s="114">
        <f t="shared" si="10"/>
        <v>964.7</v>
      </c>
      <c r="H52" s="114">
        <f t="shared" si="10"/>
        <v>965.25</v>
      </c>
      <c r="I52" s="114">
        <f t="shared" si="10"/>
        <v>965.80000000000007</v>
      </c>
      <c r="J52" s="114">
        <f t="shared" si="10"/>
        <v>966.35</v>
      </c>
      <c r="K52" s="114">
        <f t="shared" si="10"/>
        <v>966.90000000000009</v>
      </c>
      <c r="L52" s="114">
        <f t="shared" si="10"/>
        <v>967.45</v>
      </c>
      <c r="M52" s="114">
        <f t="shared" si="10"/>
        <v>968</v>
      </c>
      <c r="N52" s="114">
        <f t="shared" si="10"/>
        <v>968.55000000000007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2712.5</v>
      </c>
      <c r="D61" s="114">
        <f t="shared" ref="D61:N61" si="19">SUM(D51:D60)</f>
        <v>2714.05</v>
      </c>
      <c r="E61" s="114">
        <f t="shared" si="19"/>
        <v>2715.6</v>
      </c>
      <c r="F61" s="114">
        <f t="shared" si="19"/>
        <v>2717.15</v>
      </c>
      <c r="G61" s="114">
        <f t="shared" si="19"/>
        <v>2718.7</v>
      </c>
      <c r="H61" s="114">
        <f t="shared" si="19"/>
        <v>2720.25</v>
      </c>
      <c r="I61" s="114">
        <f t="shared" si="19"/>
        <v>2721.8</v>
      </c>
      <c r="J61" s="114">
        <f t="shared" si="19"/>
        <v>2723.35</v>
      </c>
      <c r="K61" s="114">
        <f t="shared" si="19"/>
        <v>2724.9</v>
      </c>
      <c r="L61" s="114">
        <f t="shared" si="19"/>
        <v>2726.45</v>
      </c>
      <c r="M61" s="114">
        <f t="shared" si="19"/>
        <v>2728</v>
      </c>
      <c r="N61" s="114">
        <f t="shared" si="19"/>
        <v>2729.55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51537.5</v>
      </c>
      <c r="D66" s="114">
        <f t="shared" si="21"/>
        <v>51566.95</v>
      </c>
      <c r="E66" s="114">
        <f t="shared" si="21"/>
        <v>51596.4</v>
      </c>
      <c r="F66" s="114">
        <f t="shared" si="21"/>
        <v>51625.85</v>
      </c>
      <c r="G66" s="114">
        <f t="shared" si="21"/>
        <v>51655.3</v>
      </c>
      <c r="H66" s="114">
        <f t="shared" si="21"/>
        <v>51684.75</v>
      </c>
      <c r="I66" s="114">
        <f t="shared" si="21"/>
        <v>51714.2</v>
      </c>
      <c r="J66" s="114">
        <f t="shared" si="21"/>
        <v>51743.65</v>
      </c>
      <c r="K66" s="114">
        <f t="shared" si="21"/>
        <v>51773.1</v>
      </c>
      <c r="L66" s="114">
        <f t="shared" si="21"/>
        <v>51802.55</v>
      </c>
      <c r="M66" s="114">
        <f t="shared" si="21"/>
        <v>51832</v>
      </c>
      <c r="N66" s="114">
        <f t="shared" si="21"/>
        <v>51861.45</v>
      </c>
    </row>
  </sheetData>
  <sheetProtection algorithmName="SHA-512" hashValue="+PqWTyeHlPefGZ5WFgoEiD7hms5FUyJ4IJQop4lKxTDYbesfRfdSBLoM0j4ldUATjB1NWBqLOx0NO0Wl8gpXAg==" saltValue="0ak5NQhZTZkPKhJDmjQnpg==" spinCount="100000" sheet="1" objects="1" scenarios="1" selectLockedCells="1"/>
  <hyperlinks>
    <hyperlink ref="Q43" r:id="rId1" xr:uid="{D3650E8E-731D-4B0B-BF7D-CAB772A9F2C4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S5" sqref="S5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500000</v>
      </c>
      <c r="C5" s="55"/>
      <c r="D5" s="56" t="s">
        <v>36</v>
      </c>
      <c r="E5" s="59">
        <f>PMT(B6/B8,(B7*B8),-B5)</f>
        <v>6132.6312544232078</v>
      </c>
    </row>
    <row r="6" spans="1:5">
      <c r="A6" s="60" t="s">
        <v>39</v>
      </c>
      <c r="B6" s="54">
        <v>8.2500000000000004E-2</v>
      </c>
      <c r="C6" s="55"/>
      <c r="D6" s="56" t="s">
        <v>38</v>
      </c>
      <c r="E6" s="59">
        <f>SUM(D14:D600)</f>
        <v>235915.75053078478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6132.6312544232078</v>
      </c>
      <c r="C14" s="1">
        <f>B14-D14</f>
        <v>2695.1312544232078</v>
      </c>
      <c r="D14" s="1">
        <f>(B5*($B$6/$B$8))</f>
        <v>3437.5</v>
      </c>
      <c r="E14" s="1">
        <f>B5-C14</f>
        <v>497304.86874557676</v>
      </c>
    </row>
    <row r="15" spans="1:5">
      <c r="A15">
        <f>IF(($B$7*$B$8&gt;A14),IF(($B$7*$B$8)=A14,"",A14+1),"")</f>
        <v>2</v>
      </c>
      <c r="B15" s="1">
        <f>IF(A15="","",$B$14)</f>
        <v>6132.6312544232078</v>
      </c>
      <c r="C15" s="1">
        <f>IF(A15="","",B15-D15)</f>
        <v>2713.6602817973676</v>
      </c>
      <c r="D15" s="1">
        <f>IF(A15="","",(E14*($B$6/$B$8)))</f>
        <v>3418.9709726258402</v>
      </c>
      <c r="E15" s="1">
        <f>IF(A15="","",E14-C15)</f>
        <v>494591.20846377942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6132.6312544232078</v>
      </c>
      <c r="C16" s="1">
        <f t="shared" ref="C16:C79" si="2">IF(A16="","",B16-D16)</f>
        <v>2732.3166962347241</v>
      </c>
      <c r="D16" s="1">
        <f t="shared" ref="D16:D79" si="3">IF(A16="","",(E15*($B$6/$B$8)))</f>
        <v>3400.3145581884837</v>
      </c>
      <c r="E16" s="1">
        <f t="shared" ref="E16:E79" si="4">IF(A16="","",E15-C16)</f>
        <v>491858.89176754467</v>
      </c>
    </row>
    <row r="17" spans="1:5">
      <c r="A17">
        <f t="shared" si="0"/>
        <v>4</v>
      </c>
      <c r="B17" s="1">
        <f t="shared" si="1"/>
        <v>6132.6312544232078</v>
      </c>
      <c r="C17" s="1">
        <f t="shared" si="2"/>
        <v>2751.1013735213382</v>
      </c>
      <c r="D17" s="1">
        <f t="shared" si="3"/>
        <v>3381.5298809018695</v>
      </c>
      <c r="E17" s="1">
        <f t="shared" si="4"/>
        <v>489107.79039402335</v>
      </c>
    </row>
    <row r="18" spans="1:5">
      <c r="A18">
        <f t="shared" si="0"/>
        <v>5</v>
      </c>
      <c r="B18" s="1">
        <f t="shared" si="1"/>
        <v>6132.6312544232078</v>
      </c>
      <c r="C18" s="1">
        <f t="shared" si="2"/>
        <v>2770.0151954642974</v>
      </c>
      <c r="D18" s="1">
        <f t="shared" si="3"/>
        <v>3362.6160589589103</v>
      </c>
      <c r="E18" s="1">
        <f t="shared" si="4"/>
        <v>486337.77519855904</v>
      </c>
    </row>
    <row r="19" spans="1:5">
      <c r="A19">
        <f t="shared" si="0"/>
        <v>6</v>
      </c>
      <c r="B19" s="1">
        <f t="shared" si="1"/>
        <v>6132.6312544232078</v>
      </c>
      <c r="C19" s="1">
        <f t="shared" si="2"/>
        <v>2789.0590499331142</v>
      </c>
      <c r="D19" s="1">
        <f t="shared" si="3"/>
        <v>3343.5722044900936</v>
      </c>
      <c r="E19" s="1">
        <f t="shared" si="4"/>
        <v>483548.71614862594</v>
      </c>
    </row>
    <row r="20" spans="1:5">
      <c r="A20">
        <f t="shared" si="0"/>
        <v>7</v>
      </c>
      <c r="B20" s="1">
        <f t="shared" si="1"/>
        <v>6132.6312544232078</v>
      </c>
      <c r="C20" s="1">
        <f t="shared" si="2"/>
        <v>2808.2338309014044</v>
      </c>
      <c r="D20" s="1">
        <f t="shared" si="3"/>
        <v>3324.3974235218034</v>
      </c>
      <c r="E20" s="1">
        <f t="shared" si="4"/>
        <v>480740.48231772456</v>
      </c>
    </row>
    <row r="21" spans="1:5">
      <c r="A21">
        <f t="shared" si="0"/>
        <v>8</v>
      </c>
      <c r="B21" s="1">
        <f t="shared" si="1"/>
        <v>6132.6312544232078</v>
      </c>
      <c r="C21" s="1">
        <f t="shared" si="2"/>
        <v>2827.5404384888516</v>
      </c>
      <c r="D21" s="1">
        <f t="shared" si="3"/>
        <v>3305.0908159343562</v>
      </c>
      <c r="E21" s="1">
        <f t="shared" si="4"/>
        <v>477912.94187923573</v>
      </c>
    </row>
    <row r="22" spans="1:5">
      <c r="A22">
        <f t="shared" si="0"/>
        <v>9</v>
      </c>
      <c r="B22" s="1">
        <f t="shared" si="1"/>
        <v>6132.6312544232078</v>
      </c>
      <c r="C22" s="1">
        <f t="shared" si="2"/>
        <v>2846.9797790034622</v>
      </c>
      <c r="D22" s="1">
        <f t="shared" si="3"/>
        <v>3285.6514754197456</v>
      </c>
      <c r="E22" s="1">
        <f t="shared" si="4"/>
        <v>475065.96210023225</v>
      </c>
    </row>
    <row r="23" spans="1:5">
      <c r="A23">
        <f t="shared" si="0"/>
        <v>10</v>
      </c>
      <c r="B23" s="1">
        <f t="shared" si="1"/>
        <v>6132.6312544232078</v>
      </c>
      <c r="C23" s="1">
        <f t="shared" si="2"/>
        <v>2866.552764984111</v>
      </c>
      <c r="D23" s="1">
        <f t="shared" si="3"/>
        <v>3266.0784894390968</v>
      </c>
      <c r="E23" s="1">
        <f t="shared" si="4"/>
        <v>472199.40933524811</v>
      </c>
    </row>
    <row r="24" spans="1:5">
      <c r="A24">
        <f t="shared" si="0"/>
        <v>11</v>
      </c>
      <c r="B24" s="1">
        <f t="shared" si="1"/>
        <v>6132.6312544232078</v>
      </c>
      <c r="C24" s="1">
        <f t="shared" si="2"/>
        <v>2886.2603152433771</v>
      </c>
      <c r="D24" s="1">
        <f t="shared" si="3"/>
        <v>3246.3709391798307</v>
      </c>
      <c r="E24" s="1">
        <f t="shared" si="4"/>
        <v>469313.14902000473</v>
      </c>
    </row>
    <row r="25" spans="1:5">
      <c r="A25">
        <f t="shared" si="0"/>
        <v>12</v>
      </c>
      <c r="B25" s="1">
        <f t="shared" si="1"/>
        <v>6132.6312544232078</v>
      </c>
      <c r="C25" s="1">
        <f t="shared" si="2"/>
        <v>2906.1033549106751</v>
      </c>
      <c r="D25" s="1">
        <f t="shared" si="3"/>
        <v>3226.5278995125327</v>
      </c>
      <c r="E25" s="1">
        <f t="shared" si="4"/>
        <v>466407.04566509405</v>
      </c>
    </row>
    <row r="26" spans="1:5">
      <c r="A26">
        <f t="shared" si="0"/>
        <v>13</v>
      </c>
      <c r="B26" s="1">
        <f t="shared" si="1"/>
        <v>6132.6312544232078</v>
      </c>
      <c r="C26" s="1">
        <f t="shared" si="2"/>
        <v>2926.0828154756864</v>
      </c>
      <c r="D26" s="1">
        <f t="shared" si="3"/>
        <v>3206.5484389475214</v>
      </c>
      <c r="E26" s="1">
        <f t="shared" si="4"/>
        <v>463480.96284961834</v>
      </c>
    </row>
    <row r="27" spans="1:5">
      <c r="A27">
        <f t="shared" si="0"/>
        <v>14</v>
      </c>
      <c r="B27" s="1">
        <f t="shared" si="1"/>
        <v>6132.6312544232078</v>
      </c>
      <c r="C27" s="1">
        <f t="shared" si="2"/>
        <v>2946.1996348320818</v>
      </c>
      <c r="D27" s="1">
        <f t="shared" si="3"/>
        <v>3186.431619591126</v>
      </c>
      <c r="E27" s="1">
        <f t="shared" si="4"/>
        <v>460534.76321478625</v>
      </c>
    </row>
    <row r="28" spans="1:5">
      <c r="A28">
        <f t="shared" si="0"/>
        <v>15</v>
      </c>
      <c r="B28" s="1">
        <f t="shared" si="1"/>
        <v>6132.6312544232078</v>
      </c>
      <c r="C28" s="1">
        <f t="shared" si="2"/>
        <v>2966.4547573215523</v>
      </c>
      <c r="D28" s="1">
        <f t="shared" si="3"/>
        <v>3166.1764971016555</v>
      </c>
      <c r="E28" s="1">
        <f t="shared" si="4"/>
        <v>457568.30845746468</v>
      </c>
    </row>
    <row r="29" spans="1:5">
      <c r="A29">
        <f t="shared" si="0"/>
        <v>16</v>
      </c>
      <c r="B29" s="1">
        <f t="shared" si="1"/>
        <v>6132.6312544232078</v>
      </c>
      <c r="C29" s="1">
        <f t="shared" si="2"/>
        <v>2986.8491337781379</v>
      </c>
      <c r="D29" s="1">
        <f t="shared" si="3"/>
        <v>3145.7821206450699</v>
      </c>
      <c r="E29" s="1">
        <f t="shared" si="4"/>
        <v>454581.45932368655</v>
      </c>
    </row>
    <row r="30" spans="1:5">
      <c r="A30">
        <f t="shared" si="0"/>
        <v>17</v>
      </c>
      <c r="B30" s="1">
        <f t="shared" si="1"/>
        <v>6132.6312544232078</v>
      </c>
      <c r="C30" s="1">
        <f t="shared" si="2"/>
        <v>3007.3837215728627</v>
      </c>
      <c r="D30" s="1">
        <f t="shared" si="3"/>
        <v>3125.2475328503451</v>
      </c>
      <c r="E30" s="1">
        <f t="shared" si="4"/>
        <v>451574.07560211368</v>
      </c>
    </row>
    <row r="31" spans="1:5">
      <c r="A31">
        <f t="shared" si="0"/>
        <v>18</v>
      </c>
      <c r="B31" s="1">
        <f t="shared" si="1"/>
        <v>6132.6312544232078</v>
      </c>
      <c r="C31" s="1">
        <f t="shared" si="2"/>
        <v>3028.0594846586764</v>
      </c>
      <c r="D31" s="1">
        <f t="shared" si="3"/>
        <v>3104.5717697645314</v>
      </c>
      <c r="E31" s="1">
        <f t="shared" si="4"/>
        <v>448546.01611745497</v>
      </c>
    </row>
    <row r="32" spans="1:5">
      <c r="A32">
        <f t="shared" si="0"/>
        <v>19</v>
      </c>
      <c r="B32" s="1">
        <f t="shared" si="1"/>
        <v>6132.6312544232078</v>
      </c>
      <c r="C32" s="1">
        <f t="shared" si="2"/>
        <v>3048.8773936157049</v>
      </c>
      <c r="D32" s="1">
        <f t="shared" si="3"/>
        <v>3083.7538608075029</v>
      </c>
      <c r="E32" s="1">
        <f t="shared" si="4"/>
        <v>445497.13872383925</v>
      </c>
    </row>
    <row r="33" spans="1:5">
      <c r="A33">
        <f t="shared" si="0"/>
        <v>20</v>
      </c>
      <c r="B33" s="1">
        <f t="shared" si="1"/>
        <v>6132.6312544232078</v>
      </c>
      <c r="C33" s="1">
        <f t="shared" si="2"/>
        <v>3069.8384256968129</v>
      </c>
      <c r="D33" s="1">
        <f t="shared" si="3"/>
        <v>3062.7928287263949</v>
      </c>
      <c r="E33" s="1">
        <f t="shared" si="4"/>
        <v>442427.30029814242</v>
      </c>
    </row>
    <row r="34" spans="1:5">
      <c r="A34">
        <f t="shared" si="0"/>
        <v>21</v>
      </c>
      <c r="B34" s="1">
        <f t="shared" si="1"/>
        <v>6132.6312544232078</v>
      </c>
      <c r="C34" s="1">
        <f t="shared" si="2"/>
        <v>3090.9435648734784</v>
      </c>
      <c r="D34" s="1">
        <f t="shared" si="3"/>
        <v>3041.6876895497294</v>
      </c>
      <c r="E34" s="1">
        <f t="shared" si="4"/>
        <v>439336.35673326894</v>
      </c>
    </row>
    <row r="35" spans="1:5">
      <c r="A35">
        <f t="shared" si="0"/>
        <v>22</v>
      </c>
      <c r="B35" s="1">
        <f t="shared" si="1"/>
        <v>6132.6312544232078</v>
      </c>
      <c r="C35" s="1">
        <f t="shared" si="2"/>
        <v>3112.1938018819837</v>
      </c>
      <c r="D35" s="1">
        <f t="shared" si="3"/>
        <v>3020.437452541224</v>
      </c>
      <c r="E35" s="1">
        <f t="shared" si="4"/>
        <v>436224.16293138696</v>
      </c>
    </row>
    <row r="36" spans="1:5">
      <c r="A36">
        <f t="shared" si="0"/>
        <v>23</v>
      </c>
      <c r="B36" s="1">
        <f t="shared" si="1"/>
        <v>6132.6312544232078</v>
      </c>
      <c r="C36" s="1">
        <f t="shared" si="2"/>
        <v>3133.5901342699226</v>
      </c>
      <c r="D36" s="1">
        <f t="shared" si="3"/>
        <v>2999.0411201532852</v>
      </c>
      <c r="E36" s="1">
        <f t="shared" si="4"/>
        <v>433090.57279711706</v>
      </c>
    </row>
    <row r="37" spans="1:5">
      <c r="A37">
        <f t="shared" si="0"/>
        <v>24</v>
      </c>
      <c r="B37" s="1">
        <f t="shared" si="1"/>
        <v>6132.6312544232078</v>
      </c>
      <c r="C37" s="1">
        <f t="shared" si="2"/>
        <v>3155.133566443028</v>
      </c>
      <c r="D37" s="1">
        <f t="shared" si="3"/>
        <v>2977.4976879801798</v>
      </c>
      <c r="E37" s="1">
        <f t="shared" si="4"/>
        <v>429935.439230674</v>
      </c>
    </row>
    <row r="38" spans="1:5">
      <c r="A38">
        <f t="shared" si="0"/>
        <v>25</v>
      </c>
      <c r="B38" s="1">
        <f t="shared" si="1"/>
        <v>6132.6312544232078</v>
      </c>
      <c r="C38" s="1">
        <f t="shared" si="2"/>
        <v>3176.8251097123239</v>
      </c>
      <c r="D38" s="1">
        <f t="shared" si="3"/>
        <v>2955.8061447108839</v>
      </c>
      <c r="E38" s="1">
        <f t="shared" si="4"/>
        <v>426758.61412096169</v>
      </c>
    </row>
    <row r="39" spans="1:5">
      <c r="A39">
        <f t="shared" si="0"/>
        <v>26</v>
      </c>
      <c r="B39" s="1">
        <f t="shared" si="1"/>
        <v>6132.6312544232078</v>
      </c>
      <c r="C39" s="1">
        <f t="shared" si="2"/>
        <v>3198.6657823415962</v>
      </c>
      <c r="D39" s="1">
        <f t="shared" si="3"/>
        <v>2933.9654720816116</v>
      </c>
      <c r="E39" s="1">
        <f t="shared" si="4"/>
        <v>423559.94833862007</v>
      </c>
    </row>
    <row r="40" spans="1:5">
      <c r="A40">
        <f t="shared" si="0"/>
        <v>27</v>
      </c>
      <c r="B40" s="1">
        <f t="shared" si="1"/>
        <v>6132.6312544232078</v>
      </c>
      <c r="C40" s="1">
        <f t="shared" si="2"/>
        <v>3220.6566095951948</v>
      </c>
      <c r="D40" s="1">
        <f t="shared" si="3"/>
        <v>2911.974644828013</v>
      </c>
      <c r="E40" s="1">
        <f t="shared" si="4"/>
        <v>420339.2917290249</v>
      </c>
    </row>
    <row r="41" spans="1:5">
      <c r="A41">
        <f t="shared" si="0"/>
        <v>28</v>
      </c>
      <c r="B41" s="1">
        <f t="shared" si="1"/>
        <v>6132.6312544232078</v>
      </c>
      <c r="C41" s="1">
        <f t="shared" si="2"/>
        <v>3242.7986237861614</v>
      </c>
      <c r="D41" s="1">
        <f t="shared" si="3"/>
        <v>2889.8326306370463</v>
      </c>
      <c r="E41" s="1">
        <f t="shared" si="4"/>
        <v>417096.49310523877</v>
      </c>
    </row>
    <row r="42" spans="1:5">
      <c r="A42">
        <f t="shared" si="0"/>
        <v>29</v>
      </c>
      <c r="B42" s="1">
        <f t="shared" si="1"/>
        <v>6132.6312544232078</v>
      </c>
      <c r="C42" s="1">
        <f t="shared" si="2"/>
        <v>3265.0928643246912</v>
      </c>
      <c r="D42" s="1">
        <f t="shared" si="3"/>
        <v>2867.5383900985166</v>
      </c>
      <c r="E42" s="1">
        <f t="shared" si="4"/>
        <v>413831.40024091408</v>
      </c>
    </row>
    <row r="43" spans="1:5">
      <c r="A43">
        <f t="shared" si="0"/>
        <v>30</v>
      </c>
      <c r="B43" s="1">
        <f t="shared" si="1"/>
        <v>6132.6312544232078</v>
      </c>
      <c r="C43" s="1">
        <f t="shared" si="2"/>
        <v>3287.5403777669235</v>
      </c>
      <c r="D43" s="1">
        <f t="shared" si="3"/>
        <v>2845.0908766562843</v>
      </c>
      <c r="E43" s="1">
        <f t="shared" si="4"/>
        <v>410543.85986314714</v>
      </c>
    </row>
    <row r="44" spans="1:5">
      <c r="A44">
        <f t="shared" si="0"/>
        <v>31</v>
      </c>
      <c r="B44" s="1">
        <f t="shared" si="1"/>
        <v>6132.6312544232078</v>
      </c>
      <c r="C44" s="1">
        <f t="shared" si="2"/>
        <v>3310.142217864071</v>
      </c>
      <c r="D44" s="1">
        <f t="shared" si="3"/>
        <v>2822.4890365591368</v>
      </c>
      <c r="E44" s="1">
        <f t="shared" si="4"/>
        <v>407233.71764528309</v>
      </c>
    </row>
    <row r="45" spans="1:5">
      <c r="A45">
        <f t="shared" si="0"/>
        <v>32</v>
      </c>
      <c r="B45" s="1">
        <f t="shared" si="1"/>
        <v>6132.6312544232078</v>
      </c>
      <c r="C45" s="1">
        <f t="shared" si="2"/>
        <v>3332.8994456118867</v>
      </c>
      <c r="D45" s="1">
        <f t="shared" si="3"/>
        <v>2799.7318088113211</v>
      </c>
      <c r="E45" s="1">
        <f t="shared" si="4"/>
        <v>403900.81819967122</v>
      </c>
    </row>
    <row r="46" spans="1:5">
      <c r="A46">
        <f t="shared" si="0"/>
        <v>33</v>
      </c>
      <c r="B46" s="1">
        <f t="shared" si="1"/>
        <v>6132.6312544232078</v>
      </c>
      <c r="C46" s="1">
        <f t="shared" si="2"/>
        <v>3355.8131293004681</v>
      </c>
      <c r="D46" s="1">
        <f t="shared" si="3"/>
        <v>2776.8181251227397</v>
      </c>
      <c r="E46" s="1">
        <f t="shared" si="4"/>
        <v>400545.00507037074</v>
      </c>
    </row>
    <row r="47" spans="1:5">
      <c r="A47">
        <f t="shared" si="0"/>
        <v>34</v>
      </c>
      <c r="B47" s="1">
        <f t="shared" si="1"/>
        <v>6132.6312544232078</v>
      </c>
      <c r="C47" s="1">
        <f t="shared" si="2"/>
        <v>3378.8843445644088</v>
      </c>
      <c r="D47" s="1">
        <f t="shared" si="3"/>
        <v>2753.746909858799</v>
      </c>
      <c r="E47" s="1">
        <f t="shared" si="4"/>
        <v>397166.12072580634</v>
      </c>
    </row>
    <row r="48" spans="1:5">
      <c r="A48">
        <f t="shared" si="0"/>
        <v>35</v>
      </c>
      <c r="B48" s="1">
        <f t="shared" si="1"/>
        <v>6132.6312544232078</v>
      </c>
      <c r="C48" s="1">
        <f t="shared" si="2"/>
        <v>3402.114174433289</v>
      </c>
      <c r="D48" s="1">
        <f t="shared" si="3"/>
        <v>2730.5170799899188</v>
      </c>
      <c r="E48" s="1">
        <f t="shared" si="4"/>
        <v>393764.00655137305</v>
      </c>
    </row>
    <row r="49" spans="1:5">
      <c r="A49">
        <f t="shared" si="0"/>
        <v>36</v>
      </c>
      <c r="B49" s="1">
        <f t="shared" si="1"/>
        <v>6132.6312544232078</v>
      </c>
      <c r="C49" s="1">
        <f t="shared" si="2"/>
        <v>3425.5037093825181</v>
      </c>
      <c r="D49" s="1">
        <f t="shared" si="3"/>
        <v>2707.1275450406897</v>
      </c>
      <c r="E49" s="1">
        <f t="shared" si="4"/>
        <v>390338.50284199056</v>
      </c>
    </row>
    <row r="50" spans="1:5">
      <c r="A50">
        <f t="shared" si="0"/>
        <v>37</v>
      </c>
      <c r="B50" s="1">
        <f t="shared" si="1"/>
        <v>6132.6312544232078</v>
      </c>
      <c r="C50" s="1">
        <f t="shared" si="2"/>
        <v>3449.0540473845226</v>
      </c>
      <c r="D50" s="1">
        <f t="shared" si="3"/>
        <v>2683.5772070386852</v>
      </c>
      <c r="E50" s="1">
        <f t="shared" si="4"/>
        <v>386889.44879460603</v>
      </c>
    </row>
    <row r="51" spans="1:5">
      <c r="A51">
        <f t="shared" si="0"/>
        <v>38</v>
      </c>
      <c r="B51" s="1">
        <f t="shared" si="1"/>
        <v>6132.6312544232078</v>
      </c>
      <c r="C51" s="1">
        <f t="shared" si="2"/>
        <v>3472.7662939602915</v>
      </c>
      <c r="D51" s="1">
        <f t="shared" si="3"/>
        <v>2659.8649604629163</v>
      </c>
      <c r="E51" s="1">
        <f t="shared" si="4"/>
        <v>383416.68250064575</v>
      </c>
    </row>
    <row r="52" spans="1:5">
      <c r="A52">
        <f t="shared" si="0"/>
        <v>39</v>
      </c>
      <c r="B52" s="1">
        <f t="shared" si="1"/>
        <v>6132.6312544232078</v>
      </c>
      <c r="C52" s="1">
        <f t="shared" si="2"/>
        <v>3496.6415622312684</v>
      </c>
      <c r="D52" s="1">
        <f t="shared" si="3"/>
        <v>2635.9896921919394</v>
      </c>
      <c r="E52" s="1">
        <f t="shared" si="4"/>
        <v>379920.04093841446</v>
      </c>
    </row>
    <row r="53" spans="1:5">
      <c r="A53">
        <f t="shared" si="0"/>
        <v>40</v>
      </c>
      <c r="B53" s="1">
        <f t="shared" si="1"/>
        <v>6132.6312544232078</v>
      </c>
      <c r="C53" s="1">
        <f t="shared" si="2"/>
        <v>3520.6809729716083</v>
      </c>
      <c r="D53" s="1">
        <f t="shared" si="3"/>
        <v>2611.9502814515995</v>
      </c>
      <c r="E53" s="1">
        <f t="shared" si="4"/>
        <v>376399.35996544285</v>
      </c>
    </row>
    <row r="54" spans="1:5">
      <c r="A54">
        <f t="shared" si="0"/>
        <v>41</v>
      </c>
      <c r="B54" s="1">
        <f t="shared" si="1"/>
        <v>6132.6312544232078</v>
      </c>
      <c r="C54" s="1">
        <f t="shared" si="2"/>
        <v>3544.8856546607881</v>
      </c>
      <c r="D54" s="1">
        <f t="shared" si="3"/>
        <v>2587.7455997624197</v>
      </c>
      <c r="E54" s="1">
        <f t="shared" si="4"/>
        <v>372854.47431078204</v>
      </c>
    </row>
    <row r="55" spans="1:5">
      <c r="A55">
        <f t="shared" si="0"/>
        <v>42</v>
      </c>
      <c r="B55" s="1">
        <f t="shared" si="1"/>
        <v>6132.6312544232078</v>
      </c>
      <c r="C55" s="1">
        <f t="shared" si="2"/>
        <v>3569.2567435365813</v>
      </c>
      <c r="D55" s="1">
        <f t="shared" si="3"/>
        <v>2563.3745108866265</v>
      </c>
      <c r="E55" s="1">
        <f t="shared" si="4"/>
        <v>369285.21756724548</v>
      </c>
    </row>
    <row r="56" spans="1:5">
      <c r="A56">
        <f t="shared" si="0"/>
        <v>43</v>
      </c>
      <c r="B56" s="1">
        <f t="shared" si="1"/>
        <v>6132.6312544232078</v>
      </c>
      <c r="C56" s="1">
        <f t="shared" si="2"/>
        <v>3593.7953836483953</v>
      </c>
      <c r="D56" s="1">
        <f t="shared" si="3"/>
        <v>2538.8358707748125</v>
      </c>
      <c r="E56" s="1">
        <f t="shared" si="4"/>
        <v>365691.42218359705</v>
      </c>
    </row>
    <row r="57" spans="1:5">
      <c r="A57">
        <f t="shared" si="0"/>
        <v>44</v>
      </c>
      <c r="B57" s="1">
        <f t="shared" si="1"/>
        <v>6132.6312544232078</v>
      </c>
      <c r="C57" s="1">
        <f t="shared" si="2"/>
        <v>3618.5027269109783</v>
      </c>
      <c r="D57" s="1">
        <f t="shared" si="3"/>
        <v>2514.1285275122295</v>
      </c>
      <c r="E57" s="1">
        <f t="shared" si="4"/>
        <v>362072.91945668607</v>
      </c>
    </row>
    <row r="58" spans="1:5">
      <c r="A58">
        <f t="shared" si="0"/>
        <v>45</v>
      </c>
      <c r="B58" s="1">
        <f t="shared" si="1"/>
        <v>6132.6312544232078</v>
      </c>
      <c r="C58" s="1">
        <f t="shared" si="2"/>
        <v>3643.379933158491</v>
      </c>
      <c r="D58" s="1">
        <f t="shared" si="3"/>
        <v>2489.2513212647168</v>
      </c>
      <c r="E58" s="1">
        <f t="shared" si="4"/>
        <v>358429.53952352755</v>
      </c>
    </row>
    <row r="59" spans="1:5">
      <c r="A59">
        <f t="shared" si="0"/>
        <v>46</v>
      </c>
      <c r="B59" s="1">
        <f t="shared" si="1"/>
        <v>6132.6312544232078</v>
      </c>
      <c r="C59" s="1">
        <f t="shared" si="2"/>
        <v>3668.4281701989557</v>
      </c>
      <c r="D59" s="1">
        <f t="shared" si="3"/>
        <v>2464.2030842242521</v>
      </c>
      <c r="E59" s="1">
        <f t="shared" si="4"/>
        <v>354761.11135332857</v>
      </c>
    </row>
    <row r="60" spans="1:5">
      <c r="A60">
        <f t="shared" si="0"/>
        <v>47</v>
      </c>
      <c r="B60" s="1">
        <f t="shared" si="1"/>
        <v>6132.6312544232078</v>
      </c>
      <c r="C60" s="1">
        <f t="shared" si="2"/>
        <v>3693.6486138690739</v>
      </c>
      <c r="D60" s="1">
        <f t="shared" si="3"/>
        <v>2438.9826405541339</v>
      </c>
      <c r="E60" s="1">
        <f t="shared" si="4"/>
        <v>351067.46273945947</v>
      </c>
    </row>
    <row r="61" spans="1:5">
      <c r="A61">
        <f t="shared" si="0"/>
        <v>48</v>
      </c>
      <c r="B61" s="1">
        <f t="shared" si="1"/>
        <v>6132.6312544232078</v>
      </c>
      <c r="C61" s="1">
        <f t="shared" si="2"/>
        <v>3719.0424480894239</v>
      </c>
      <c r="D61" s="1">
        <f t="shared" si="3"/>
        <v>2413.5888063337839</v>
      </c>
      <c r="E61" s="1">
        <f t="shared" si="4"/>
        <v>347348.42029137007</v>
      </c>
    </row>
    <row r="62" spans="1:5">
      <c r="A62">
        <f t="shared" si="0"/>
        <v>49</v>
      </c>
      <c r="B62" s="1">
        <f t="shared" si="1"/>
        <v>6132.6312544232078</v>
      </c>
      <c r="C62" s="1">
        <f t="shared" si="2"/>
        <v>3744.6108649200387</v>
      </c>
      <c r="D62" s="1">
        <f t="shared" si="3"/>
        <v>2388.0203895031691</v>
      </c>
      <c r="E62" s="1">
        <f t="shared" si="4"/>
        <v>343603.80942645005</v>
      </c>
    </row>
    <row r="63" spans="1:5">
      <c r="A63">
        <f t="shared" si="0"/>
        <v>50</v>
      </c>
      <c r="B63" s="1">
        <f t="shared" si="1"/>
        <v>6132.6312544232078</v>
      </c>
      <c r="C63" s="1">
        <f t="shared" si="2"/>
        <v>3770.3550646163635</v>
      </c>
      <c r="D63" s="1">
        <f t="shared" si="3"/>
        <v>2362.2761898068443</v>
      </c>
      <c r="E63" s="1">
        <f t="shared" si="4"/>
        <v>339833.45436183369</v>
      </c>
    </row>
    <row r="64" spans="1:5">
      <c r="A64">
        <f t="shared" si="0"/>
        <v>51</v>
      </c>
      <c r="B64" s="1">
        <f t="shared" si="1"/>
        <v>6132.6312544232078</v>
      </c>
      <c r="C64" s="1">
        <f t="shared" si="2"/>
        <v>3796.276255685601</v>
      </c>
      <c r="D64" s="1">
        <f t="shared" si="3"/>
        <v>2336.3549987376068</v>
      </c>
      <c r="E64" s="1">
        <f t="shared" si="4"/>
        <v>336037.17810614809</v>
      </c>
    </row>
    <row r="65" spans="1:5">
      <c r="A65">
        <f t="shared" si="0"/>
        <v>52</v>
      </c>
      <c r="B65" s="1">
        <f t="shared" si="1"/>
        <v>6132.6312544232078</v>
      </c>
      <c r="C65" s="1">
        <f t="shared" si="2"/>
        <v>3822.3756549434397</v>
      </c>
      <c r="D65" s="1">
        <f t="shared" si="3"/>
        <v>2310.2555994797681</v>
      </c>
      <c r="E65" s="1">
        <f t="shared" si="4"/>
        <v>332214.80245120462</v>
      </c>
    </row>
    <row r="66" spans="1:5">
      <c r="A66">
        <f t="shared" si="0"/>
        <v>53</v>
      </c>
      <c r="B66" s="1">
        <f t="shared" si="1"/>
        <v>6132.6312544232078</v>
      </c>
      <c r="C66" s="1">
        <f t="shared" si="2"/>
        <v>3848.6544875711761</v>
      </c>
      <c r="D66" s="1">
        <f t="shared" si="3"/>
        <v>2283.9767668520317</v>
      </c>
      <c r="E66" s="1">
        <f t="shared" si="4"/>
        <v>328366.14796363347</v>
      </c>
    </row>
    <row r="67" spans="1:5">
      <c r="A67">
        <f t="shared" si="0"/>
        <v>54</v>
      </c>
      <c r="B67" s="1">
        <f t="shared" si="1"/>
        <v>6132.6312544232078</v>
      </c>
      <c r="C67" s="1">
        <f t="shared" si="2"/>
        <v>3875.1139871732275</v>
      </c>
      <c r="D67" s="1">
        <f t="shared" si="3"/>
        <v>2257.5172672499803</v>
      </c>
      <c r="E67" s="1">
        <f t="shared" si="4"/>
        <v>324491.03397646022</v>
      </c>
    </row>
    <row r="68" spans="1:5">
      <c r="A68">
        <f t="shared" si="0"/>
        <v>55</v>
      </c>
      <c r="B68" s="1">
        <f t="shared" si="1"/>
        <v>6132.6312544232078</v>
      </c>
      <c r="C68" s="1">
        <f t="shared" si="2"/>
        <v>3901.7553958350436</v>
      </c>
      <c r="D68" s="1">
        <f t="shared" si="3"/>
        <v>2230.8758585881642</v>
      </c>
      <c r="E68" s="1">
        <f t="shared" si="4"/>
        <v>320589.27858062519</v>
      </c>
    </row>
    <row r="69" spans="1:5">
      <c r="A69">
        <f t="shared" si="0"/>
        <v>56</v>
      </c>
      <c r="B69" s="1">
        <f t="shared" si="1"/>
        <v>6132.6312544232078</v>
      </c>
      <c r="C69" s="1">
        <f t="shared" si="2"/>
        <v>3928.5799641814097</v>
      </c>
      <c r="D69" s="1">
        <f t="shared" si="3"/>
        <v>2204.0512902417981</v>
      </c>
      <c r="E69" s="1">
        <f t="shared" si="4"/>
        <v>316660.69861644378</v>
      </c>
    </row>
    <row r="70" spans="1:5">
      <c r="A70">
        <f t="shared" si="0"/>
        <v>57</v>
      </c>
      <c r="B70" s="1">
        <f t="shared" si="1"/>
        <v>6132.6312544232078</v>
      </c>
      <c r="C70" s="1">
        <f t="shared" si="2"/>
        <v>3955.5889514351566</v>
      </c>
      <c r="D70" s="1">
        <f t="shared" si="3"/>
        <v>2177.0423029880512</v>
      </c>
      <c r="E70" s="1">
        <f t="shared" si="4"/>
        <v>312705.10966500861</v>
      </c>
    </row>
    <row r="71" spans="1:5">
      <c r="A71">
        <f t="shared" si="0"/>
        <v>58</v>
      </c>
      <c r="B71" s="1">
        <f t="shared" si="1"/>
        <v>6132.6312544232078</v>
      </c>
      <c r="C71" s="1">
        <f t="shared" si="2"/>
        <v>3982.7836254762738</v>
      </c>
      <c r="D71" s="1">
        <f t="shared" si="3"/>
        <v>2149.847628946934</v>
      </c>
      <c r="E71" s="1">
        <f t="shared" si="4"/>
        <v>308722.32603953232</v>
      </c>
    </row>
    <row r="72" spans="1:5">
      <c r="A72">
        <f t="shared" si="0"/>
        <v>59</v>
      </c>
      <c r="B72" s="1">
        <f t="shared" si="1"/>
        <v>6132.6312544232078</v>
      </c>
      <c r="C72" s="1">
        <f t="shared" si="2"/>
        <v>4010.1652629014229</v>
      </c>
      <c r="D72" s="1">
        <f t="shared" si="3"/>
        <v>2122.4659915217849</v>
      </c>
      <c r="E72" s="1">
        <f t="shared" si="4"/>
        <v>304712.16077663092</v>
      </c>
    </row>
    <row r="73" spans="1:5">
      <c r="A73">
        <f t="shared" si="0"/>
        <v>60</v>
      </c>
      <c r="B73" s="1">
        <f t="shared" si="1"/>
        <v>6132.6312544232078</v>
      </c>
      <c r="C73" s="1">
        <f t="shared" si="2"/>
        <v>4037.7351490838701</v>
      </c>
      <c r="D73" s="1">
        <f t="shared" si="3"/>
        <v>2094.8961053393377</v>
      </c>
      <c r="E73" s="1">
        <f t="shared" si="4"/>
        <v>300674.42562754703</v>
      </c>
    </row>
    <row r="74" spans="1:5">
      <c r="A74">
        <f t="shared" si="0"/>
        <v>61</v>
      </c>
      <c r="B74" s="1">
        <f t="shared" si="1"/>
        <v>6132.6312544232078</v>
      </c>
      <c r="C74" s="1">
        <f t="shared" si="2"/>
        <v>4065.4945782338218</v>
      </c>
      <c r="D74" s="1">
        <f t="shared" si="3"/>
        <v>2067.136676189386</v>
      </c>
      <c r="E74" s="1">
        <f t="shared" si="4"/>
        <v>296608.93104931322</v>
      </c>
    </row>
    <row r="75" spans="1:5">
      <c r="A75">
        <f t="shared" si="0"/>
        <v>62</v>
      </c>
      <c r="B75" s="1">
        <f t="shared" si="1"/>
        <v>6132.6312544232078</v>
      </c>
      <c r="C75" s="1">
        <f t="shared" si="2"/>
        <v>4093.4448534591793</v>
      </c>
      <c r="D75" s="1">
        <f t="shared" si="3"/>
        <v>2039.1864009640285</v>
      </c>
      <c r="E75" s="1">
        <f t="shared" si="4"/>
        <v>292515.48619585403</v>
      </c>
    </row>
    <row r="76" spans="1:5">
      <c r="A76">
        <f t="shared" si="0"/>
        <v>63</v>
      </c>
      <c r="B76" s="1">
        <f t="shared" si="1"/>
        <v>6132.6312544232078</v>
      </c>
      <c r="C76" s="1">
        <f t="shared" si="2"/>
        <v>4121.5872868267115</v>
      </c>
      <c r="D76" s="1">
        <f t="shared" si="3"/>
        <v>2011.0439675964965</v>
      </c>
      <c r="E76" s="1">
        <f t="shared" si="4"/>
        <v>288393.89890902734</v>
      </c>
    </row>
    <row r="77" spans="1:5">
      <c r="A77">
        <f t="shared" si="0"/>
        <v>64</v>
      </c>
      <c r="B77" s="1">
        <f t="shared" si="1"/>
        <v>6132.6312544232078</v>
      </c>
      <c r="C77" s="1">
        <f t="shared" si="2"/>
        <v>4149.9231994236452</v>
      </c>
      <c r="D77" s="1">
        <f t="shared" si="3"/>
        <v>1982.708054999563</v>
      </c>
      <c r="E77" s="1">
        <f t="shared" si="4"/>
        <v>284243.97570960369</v>
      </c>
    </row>
    <row r="78" spans="1:5">
      <c r="A78">
        <f t="shared" si="0"/>
        <v>65</v>
      </c>
      <c r="B78" s="1">
        <f t="shared" si="1"/>
        <v>6132.6312544232078</v>
      </c>
      <c r="C78" s="1">
        <f t="shared" si="2"/>
        <v>4178.453921419683</v>
      </c>
      <c r="D78" s="1">
        <f t="shared" si="3"/>
        <v>1954.1773330035253</v>
      </c>
      <c r="E78" s="1">
        <f t="shared" si="4"/>
        <v>280065.52178818401</v>
      </c>
    </row>
    <row r="79" spans="1:5">
      <c r="A79">
        <f t="shared" si="0"/>
        <v>66</v>
      </c>
      <c r="B79" s="1">
        <f t="shared" si="1"/>
        <v>6132.6312544232078</v>
      </c>
      <c r="C79" s="1">
        <f t="shared" si="2"/>
        <v>4207.180792129443</v>
      </c>
      <c r="D79" s="1">
        <f t="shared" si="3"/>
        <v>1925.450462293765</v>
      </c>
      <c r="E79" s="1">
        <f t="shared" si="4"/>
        <v>275858.34099605458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6132.6312544232078</v>
      </c>
      <c r="C80" s="1">
        <f t="shared" ref="C80:C143" si="7">IF(A80="","",B80-D80)</f>
        <v>4236.1051600753326</v>
      </c>
      <c r="D80" s="1">
        <f t="shared" ref="D80:D143" si="8">IF(A80="","",(E79*($B$6/$B$8)))</f>
        <v>1896.5260943478752</v>
      </c>
      <c r="E80" s="1">
        <f t="shared" ref="E80:E143" si="9">IF(A80="","",E79-C80)</f>
        <v>271622.23583597923</v>
      </c>
    </row>
    <row r="81" spans="1:5">
      <c r="A81">
        <f t="shared" si="5"/>
        <v>68</v>
      </c>
      <c r="B81" s="1">
        <f t="shared" si="6"/>
        <v>6132.6312544232078</v>
      </c>
      <c r="C81" s="1">
        <f t="shared" si="7"/>
        <v>4265.2283830508504</v>
      </c>
      <c r="D81" s="1">
        <f t="shared" si="8"/>
        <v>1867.4028713723571</v>
      </c>
      <c r="E81" s="1">
        <f t="shared" si="9"/>
        <v>267357.0074529284</v>
      </c>
    </row>
    <row r="82" spans="1:5">
      <c r="A82">
        <f t="shared" si="5"/>
        <v>69</v>
      </c>
      <c r="B82" s="1">
        <f t="shared" si="6"/>
        <v>6132.6312544232078</v>
      </c>
      <c r="C82" s="1">
        <f t="shared" si="7"/>
        <v>4294.5518281843251</v>
      </c>
      <c r="D82" s="1">
        <f t="shared" si="8"/>
        <v>1838.0794262388829</v>
      </c>
      <c r="E82" s="1">
        <f t="shared" si="9"/>
        <v>263062.45562474406</v>
      </c>
    </row>
    <row r="83" spans="1:5">
      <c r="A83">
        <f t="shared" si="5"/>
        <v>70</v>
      </c>
      <c r="B83" s="1">
        <f t="shared" si="6"/>
        <v>6132.6312544232078</v>
      </c>
      <c r="C83" s="1">
        <f t="shared" si="7"/>
        <v>4324.0768720030919</v>
      </c>
      <c r="D83" s="1">
        <f t="shared" si="8"/>
        <v>1808.5543824201154</v>
      </c>
      <c r="E83" s="1">
        <f t="shared" si="9"/>
        <v>258738.37875274097</v>
      </c>
    </row>
    <row r="84" spans="1:5">
      <c r="A84">
        <f t="shared" si="5"/>
        <v>71</v>
      </c>
      <c r="B84" s="1">
        <f t="shared" si="6"/>
        <v>6132.6312544232078</v>
      </c>
      <c r="C84" s="1">
        <f t="shared" si="7"/>
        <v>4353.8049004981131</v>
      </c>
      <c r="D84" s="1">
        <f t="shared" si="8"/>
        <v>1778.8263539250943</v>
      </c>
      <c r="E84" s="1">
        <f t="shared" si="9"/>
        <v>254384.57385224287</v>
      </c>
    </row>
    <row r="85" spans="1:5">
      <c r="A85">
        <f t="shared" si="5"/>
        <v>72</v>
      </c>
      <c r="B85" s="1">
        <f t="shared" si="6"/>
        <v>6132.6312544232078</v>
      </c>
      <c r="C85" s="1">
        <f t="shared" si="7"/>
        <v>4383.7373091890386</v>
      </c>
      <c r="D85" s="1">
        <f t="shared" si="8"/>
        <v>1748.8939452341697</v>
      </c>
      <c r="E85" s="1">
        <f t="shared" si="9"/>
        <v>250000.83654305383</v>
      </c>
    </row>
    <row r="86" spans="1:5">
      <c r="A86">
        <f t="shared" si="5"/>
        <v>73</v>
      </c>
      <c r="B86" s="1">
        <f t="shared" si="6"/>
        <v>6132.6312544232078</v>
      </c>
      <c r="C86" s="1">
        <f t="shared" si="7"/>
        <v>4413.8755031897126</v>
      </c>
      <c r="D86" s="1">
        <f t="shared" si="8"/>
        <v>1718.7557512334949</v>
      </c>
      <c r="E86" s="1">
        <f t="shared" si="9"/>
        <v>245586.96103986411</v>
      </c>
    </row>
    <row r="87" spans="1:5">
      <c r="A87">
        <f t="shared" si="5"/>
        <v>74</v>
      </c>
      <c r="B87" s="1">
        <f t="shared" si="6"/>
        <v>6132.6312544232078</v>
      </c>
      <c r="C87" s="1">
        <f t="shared" si="7"/>
        <v>4444.2208972741419</v>
      </c>
      <c r="D87" s="1">
        <f t="shared" si="8"/>
        <v>1688.4103571490657</v>
      </c>
      <c r="E87" s="1">
        <f t="shared" si="9"/>
        <v>241142.74014258996</v>
      </c>
    </row>
    <row r="88" spans="1:5">
      <c r="A88">
        <f t="shared" si="5"/>
        <v>75</v>
      </c>
      <c r="B88" s="1">
        <f t="shared" si="6"/>
        <v>6132.6312544232078</v>
      </c>
      <c r="C88" s="1">
        <f t="shared" si="7"/>
        <v>4474.7749159429022</v>
      </c>
      <c r="D88" s="1">
        <f t="shared" si="8"/>
        <v>1657.856338480306</v>
      </c>
      <c r="E88" s="1">
        <f t="shared" si="9"/>
        <v>236667.96522664707</v>
      </c>
    </row>
    <row r="89" spans="1:5">
      <c r="A89">
        <f t="shared" si="5"/>
        <v>76</v>
      </c>
      <c r="B89" s="1">
        <f t="shared" si="6"/>
        <v>6132.6312544232078</v>
      </c>
      <c r="C89" s="1">
        <f t="shared" si="7"/>
        <v>4505.5389934900095</v>
      </c>
      <c r="D89" s="1">
        <f t="shared" si="8"/>
        <v>1627.0922609331985</v>
      </c>
      <c r="E89" s="1">
        <f t="shared" si="9"/>
        <v>232162.42623315705</v>
      </c>
    </row>
    <row r="90" spans="1:5">
      <c r="A90">
        <f t="shared" si="5"/>
        <v>77</v>
      </c>
      <c r="B90" s="1">
        <f t="shared" si="6"/>
        <v>6132.6312544232078</v>
      </c>
      <c r="C90" s="1">
        <f t="shared" si="7"/>
        <v>4536.5145740702528</v>
      </c>
      <c r="D90" s="1">
        <f t="shared" si="8"/>
        <v>1596.1166803529547</v>
      </c>
      <c r="E90" s="1">
        <f t="shared" si="9"/>
        <v>227625.91165908679</v>
      </c>
    </row>
    <row r="91" spans="1:5">
      <c r="A91">
        <f t="shared" si="5"/>
        <v>78</v>
      </c>
      <c r="B91" s="1">
        <f t="shared" si="6"/>
        <v>6132.6312544232078</v>
      </c>
      <c r="C91" s="1">
        <f t="shared" si="7"/>
        <v>4567.7031117669858</v>
      </c>
      <c r="D91" s="1">
        <f t="shared" si="8"/>
        <v>1564.9281426562218</v>
      </c>
      <c r="E91" s="1">
        <f t="shared" si="9"/>
        <v>223058.20854731981</v>
      </c>
    </row>
    <row r="92" spans="1:5">
      <c r="A92">
        <f t="shared" si="5"/>
        <v>79</v>
      </c>
      <c r="B92" s="1">
        <f t="shared" si="6"/>
        <v>6132.6312544232078</v>
      </c>
      <c r="C92" s="1">
        <f t="shared" si="7"/>
        <v>4599.1060706603839</v>
      </c>
      <c r="D92" s="1">
        <f t="shared" si="8"/>
        <v>1533.5251837628236</v>
      </c>
      <c r="E92" s="1">
        <f t="shared" si="9"/>
        <v>218459.10247665943</v>
      </c>
    </row>
    <row r="93" spans="1:5">
      <c r="A93">
        <f t="shared" si="5"/>
        <v>80</v>
      </c>
      <c r="B93" s="1">
        <f t="shared" si="6"/>
        <v>6132.6312544232078</v>
      </c>
      <c r="C93" s="1">
        <f t="shared" si="7"/>
        <v>4630.7249248961743</v>
      </c>
      <c r="D93" s="1">
        <f t="shared" si="8"/>
        <v>1501.9063295270337</v>
      </c>
      <c r="E93" s="1">
        <f t="shared" si="9"/>
        <v>213828.37755176326</v>
      </c>
    </row>
    <row r="94" spans="1:5">
      <c r="A94">
        <f t="shared" si="5"/>
        <v>81</v>
      </c>
      <c r="B94" s="1">
        <f t="shared" si="6"/>
        <v>6132.6312544232078</v>
      </c>
      <c r="C94" s="1">
        <f t="shared" si="7"/>
        <v>4662.5611587548356</v>
      </c>
      <c r="D94" s="1">
        <f t="shared" si="8"/>
        <v>1470.0700956683725</v>
      </c>
      <c r="E94" s="1">
        <f t="shared" si="9"/>
        <v>209165.81639300843</v>
      </c>
    </row>
    <row r="95" spans="1:5">
      <c r="A95">
        <f t="shared" si="5"/>
        <v>82</v>
      </c>
      <c r="B95" s="1">
        <f t="shared" si="6"/>
        <v>6132.6312544232078</v>
      </c>
      <c r="C95" s="1">
        <f t="shared" si="7"/>
        <v>4694.6162667212748</v>
      </c>
      <c r="D95" s="1">
        <f t="shared" si="8"/>
        <v>1438.014987701933</v>
      </c>
      <c r="E95" s="1">
        <f t="shared" si="9"/>
        <v>204471.20012628715</v>
      </c>
    </row>
    <row r="96" spans="1:5">
      <c r="A96">
        <f t="shared" si="5"/>
        <v>83</v>
      </c>
      <c r="B96" s="1">
        <f t="shared" si="6"/>
        <v>6132.6312544232078</v>
      </c>
      <c r="C96" s="1">
        <f t="shared" si="7"/>
        <v>4726.8917535549836</v>
      </c>
      <c r="D96" s="1">
        <f t="shared" si="8"/>
        <v>1405.7395008682242</v>
      </c>
      <c r="E96" s="1">
        <f t="shared" si="9"/>
        <v>199744.30837273216</v>
      </c>
    </row>
    <row r="97" spans="1:5">
      <c r="A97">
        <f t="shared" si="5"/>
        <v>84</v>
      </c>
      <c r="B97" s="1">
        <f t="shared" si="6"/>
        <v>6132.6312544232078</v>
      </c>
      <c r="C97" s="1">
        <f t="shared" si="7"/>
        <v>4759.3891343606738</v>
      </c>
      <c r="D97" s="1">
        <f t="shared" si="8"/>
        <v>1373.2421200625336</v>
      </c>
      <c r="E97" s="1">
        <f t="shared" si="9"/>
        <v>194984.91923837148</v>
      </c>
    </row>
    <row r="98" spans="1:5">
      <c r="A98">
        <f t="shared" si="5"/>
        <v>85</v>
      </c>
      <c r="B98" s="1">
        <f t="shared" si="6"/>
        <v>6132.6312544232078</v>
      </c>
      <c r="C98" s="1">
        <f t="shared" si="7"/>
        <v>4792.1099346594037</v>
      </c>
      <c r="D98" s="1">
        <f t="shared" si="8"/>
        <v>1340.5213197638041</v>
      </c>
      <c r="E98" s="1">
        <f t="shared" si="9"/>
        <v>190192.80930371207</v>
      </c>
    </row>
    <row r="99" spans="1:5">
      <c r="A99">
        <f t="shared" si="5"/>
        <v>86</v>
      </c>
      <c r="B99" s="1">
        <f t="shared" si="6"/>
        <v>6132.6312544232078</v>
      </c>
      <c r="C99" s="1">
        <f t="shared" si="7"/>
        <v>4825.0556904601872</v>
      </c>
      <c r="D99" s="1">
        <f t="shared" si="8"/>
        <v>1307.5755639630204</v>
      </c>
      <c r="E99" s="1">
        <f t="shared" si="9"/>
        <v>185367.75361325187</v>
      </c>
    </row>
    <row r="100" spans="1:5">
      <c r="A100">
        <f t="shared" si="5"/>
        <v>87</v>
      </c>
      <c r="B100" s="1">
        <f t="shared" si="6"/>
        <v>6132.6312544232078</v>
      </c>
      <c r="C100" s="1">
        <f t="shared" si="7"/>
        <v>4858.2279483321008</v>
      </c>
      <c r="D100" s="1">
        <f t="shared" si="8"/>
        <v>1274.4033060911067</v>
      </c>
      <c r="E100" s="1">
        <f t="shared" si="9"/>
        <v>180509.52566491978</v>
      </c>
    </row>
    <row r="101" spans="1:5">
      <c r="A101">
        <f t="shared" si="5"/>
        <v>88</v>
      </c>
      <c r="B101" s="1">
        <f t="shared" si="6"/>
        <v>6132.6312544232078</v>
      </c>
      <c r="C101" s="1">
        <f t="shared" si="7"/>
        <v>4891.6282654768838</v>
      </c>
      <c r="D101" s="1">
        <f t="shared" si="8"/>
        <v>1241.0029889463235</v>
      </c>
      <c r="E101" s="1">
        <f t="shared" si="9"/>
        <v>175617.89739944291</v>
      </c>
    </row>
    <row r="102" spans="1:5">
      <c r="A102">
        <f t="shared" si="5"/>
        <v>89</v>
      </c>
      <c r="B102" s="1">
        <f t="shared" si="6"/>
        <v>6132.6312544232078</v>
      </c>
      <c r="C102" s="1">
        <f t="shared" si="7"/>
        <v>4925.2582098020375</v>
      </c>
      <c r="D102" s="1">
        <f t="shared" si="8"/>
        <v>1207.37304462117</v>
      </c>
      <c r="E102" s="1">
        <f t="shared" si="9"/>
        <v>170692.63918964087</v>
      </c>
    </row>
    <row r="103" spans="1:5">
      <c r="A103">
        <f t="shared" si="5"/>
        <v>90</v>
      </c>
      <c r="B103" s="1">
        <f t="shared" si="6"/>
        <v>6132.6312544232078</v>
      </c>
      <c r="C103" s="1">
        <f t="shared" si="7"/>
        <v>4959.1193599944272</v>
      </c>
      <c r="D103" s="1">
        <f t="shared" si="8"/>
        <v>1173.511894428781</v>
      </c>
      <c r="E103" s="1">
        <f t="shared" si="9"/>
        <v>165733.51982964645</v>
      </c>
    </row>
    <row r="104" spans="1:5">
      <c r="A104">
        <f t="shared" si="5"/>
        <v>91</v>
      </c>
      <c r="B104" s="1">
        <f t="shared" si="6"/>
        <v>6132.6312544232078</v>
      </c>
      <c r="C104" s="1">
        <f t="shared" si="7"/>
        <v>4993.2133055943887</v>
      </c>
      <c r="D104" s="1">
        <f t="shared" si="8"/>
        <v>1139.4179488288194</v>
      </c>
      <c r="E104" s="1">
        <f t="shared" si="9"/>
        <v>160740.30652405205</v>
      </c>
    </row>
    <row r="105" spans="1:5">
      <c r="A105">
        <f t="shared" si="5"/>
        <v>92</v>
      </c>
      <c r="B105" s="1">
        <f t="shared" si="6"/>
        <v>6132.6312544232078</v>
      </c>
      <c r="C105" s="1">
        <f t="shared" si="7"/>
        <v>5027.5416470703494</v>
      </c>
      <c r="D105" s="1">
        <f t="shared" si="8"/>
        <v>1105.0896073528579</v>
      </c>
      <c r="E105" s="1">
        <f t="shared" si="9"/>
        <v>155712.7648769817</v>
      </c>
    </row>
    <row r="106" spans="1:5">
      <c r="A106">
        <f t="shared" si="5"/>
        <v>93</v>
      </c>
      <c r="B106" s="1">
        <f t="shared" si="6"/>
        <v>6132.6312544232078</v>
      </c>
      <c r="C106" s="1">
        <f t="shared" si="7"/>
        <v>5062.1059958939586</v>
      </c>
      <c r="D106" s="1">
        <f t="shared" si="8"/>
        <v>1070.5252585292492</v>
      </c>
      <c r="E106" s="1">
        <f t="shared" si="9"/>
        <v>150650.65888108773</v>
      </c>
    </row>
    <row r="107" spans="1:5">
      <c r="A107">
        <f t="shared" si="5"/>
        <v>94</v>
      </c>
      <c r="B107" s="1">
        <f t="shared" si="6"/>
        <v>6132.6312544232078</v>
      </c>
      <c r="C107" s="1">
        <f t="shared" si="7"/>
        <v>5096.9079746157295</v>
      </c>
      <c r="D107" s="1">
        <f t="shared" si="8"/>
        <v>1035.7232798074781</v>
      </c>
      <c r="E107" s="1">
        <f t="shared" si="9"/>
        <v>145553.75090647201</v>
      </c>
    </row>
    <row r="108" spans="1:5">
      <c r="A108">
        <f t="shared" si="5"/>
        <v>95</v>
      </c>
      <c r="B108" s="1">
        <f t="shared" si="6"/>
        <v>6132.6312544232078</v>
      </c>
      <c r="C108" s="1">
        <f t="shared" si="7"/>
        <v>5131.9492169412124</v>
      </c>
      <c r="D108" s="1">
        <f t="shared" si="8"/>
        <v>1000.6820374819951</v>
      </c>
      <c r="E108" s="1">
        <f t="shared" si="9"/>
        <v>140421.80168953078</v>
      </c>
    </row>
    <row r="109" spans="1:5">
      <c r="A109">
        <f t="shared" si="5"/>
        <v>96</v>
      </c>
      <c r="B109" s="1">
        <f t="shared" si="6"/>
        <v>6132.6312544232078</v>
      </c>
      <c r="C109" s="1">
        <f t="shared" si="7"/>
        <v>5167.2313678076835</v>
      </c>
      <c r="D109" s="1">
        <f t="shared" si="8"/>
        <v>965.39988661552411</v>
      </c>
      <c r="E109" s="1">
        <f t="shared" si="9"/>
        <v>135254.57032172309</v>
      </c>
    </row>
    <row r="110" spans="1:5">
      <c r="A110">
        <f t="shared" si="5"/>
        <v>97</v>
      </c>
      <c r="B110" s="1">
        <f t="shared" si="6"/>
        <v>6132.6312544232078</v>
      </c>
      <c r="C110" s="1">
        <f t="shared" si="7"/>
        <v>5202.7560834613614</v>
      </c>
      <c r="D110" s="1">
        <f t="shared" si="8"/>
        <v>929.87517096184627</v>
      </c>
      <c r="E110" s="1">
        <f t="shared" si="9"/>
        <v>130051.81423826172</v>
      </c>
    </row>
    <row r="111" spans="1:5">
      <c r="A111">
        <f t="shared" si="5"/>
        <v>98</v>
      </c>
      <c r="B111" s="1">
        <f t="shared" si="6"/>
        <v>6132.6312544232078</v>
      </c>
      <c r="C111" s="1">
        <f t="shared" si="7"/>
        <v>5238.5250315351586</v>
      </c>
      <c r="D111" s="1">
        <f t="shared" si="8"/>
        <v>894.10622288804939</v>
      </c>
      <c r="E111" s="1">
        <f t="shared" si="9"/>
        <v>124813.28920672656</v>
      </c>
    </row>
    <row r="112" spans="1:5">
      <c r="A112">
        <f t="shared" si="5"/>
        <v>99</v>
      </c>
      <c r="B112" s="1">
        <f t="shared" si="6"/>
        <v>6132.6312544232078</v>
      </c>
      <c r="C112" s="1">
        <f t="shared" si="7"/>
        <v>5274.5398911269622</v>
      </c>
      <c r="D112" s="1">
        <f t="shared" si="8"/>
        <v>858.09136329624516</v>
      </c>
      <c r="E112" s="1">
        <f t="shared" si="9"/>
        <v>119538.74931559961</v>
      </c>
    </row>
    <row r="113" spans="1:5">
      <c r="A113">
        <f t="shared" si="5"/>
        <v>100</v>
      </c>
      <c r="B113" s="1">
        <f t="shared" si="6"/>
        <v>6132.6312544232078</v>
      </c>
      <c r="C113" s="1">
        <f t="shared" si="7"/>
        <v>5310.8023528784606</v>
      </c>
      <c r="D113" s="1">
        <f t="shared" si="8"/>
        <v>821.82890154474728</v>
      </c>
      <c r="E113" s="1">
        <f t="shared" si="9"/>
        <v>114227.94696272115</v>
      </c>
    </row>
    <row r="114" spans="1:5">
      <c r="A114">
        <f t="shared" si="5"/>
        <v>101</v>
      </c>
      <c r="B114" s="1">
        <f t="shared" si="6"/>
        <v>6132.6312544232078</v>
      </c>
      <c r="C114" s="1">
        <f t="shared" si="7"/>
        <v>5347.3141190545002</v>
      </c>
      <c r="D114" s="1">
        <f t="shared" si="8"/>
        <v>785.31713536870791</v>
      </c>
      <c r="E114" s="1">
        <f t="shared" si="9"/>
        <v>108880.63284366665</v>
      </c>
    </row>
    <row r="115" spans="1:5">
      <c r="A115">
        <f t="shared" si="5"/>
        <v>102</v>
      </c>
      <c r="B115" s="1">
        <f t="shared" si="6"/>
        <v>6132.6312544232078</v>
      </c>
      <c r="C115" s="1">
        <f t="shared" si="7"/>
        <v>5384.0769036229995</v>
      </c>
      <c r="D115" s="1">
        <f t="shared" si="8"/>
        <v>748.55435080020823</v>
      </c>
      <c r="E115" s="1">
        <f t="shared" si="9"/>
        <v>103496.55594004365</v>
      </c>
    </row>
    <row r="116" spans="1:5">
      <c r="A116">
        <f t="shared" si="5"/>
        <v>103</v>
      </c>
      <c r="B116" s="1">
        <f t="shared" si="6"/>
        <v>6132.6312544232078</v>
      </c>
      <c r="C116" s="1">
        <f t="shared" si="7"/>
        <v>5421.0924323354075</v>
      </c>
      <c r="D116" s="1">
        <f t="shared" si="8"/>
        <v>711.5388220878001</v>
      </c>
      <c r="E116" s="1">
        <f t="shared" si="9"/>
        <v>98075.463507708235</v>
      </c>
    </row>
    <row r="117" spans="1:5">
      <c r="A117">
        <f t="shared" si="5"/>
        <v>104</v>
      </c>
      <c r="B117" s="1">
        <f t="shared" si="6"/>
        <v>6132.6312544232078</v>
      </c>
      <c r="C117" s="1">
        <f t="shared" si="7"/>
        <v>5458.3624428077137</v>
      </c>
      <c r="D117" s="1">
        <f t="shared" si="8"/>
        <v>674.26881161549409</v>
      </c>
      <c r="E117" s="1">
        <f t="shared" si="9"/>
        <v>92617.101064900518</v>
      </c>
    </row>
    <row r="118" spans="1:5">
      <c r="A118">
        <f t="shared" si="5"/>
        <v>105</v>
      </c>
      <c r="B118" s="1">
        <f t="shared" si="6"/>
        <v>6132.6312544232078</v>
      </c>
      <c r="C118" s="1">
        <f t="shared" si="7"/>
        <v>5495.8886846020168</v>
      </c>
      <c r="D118" s="1">
        <f t="shared" si="8"/>
        <v>636.74256982119107</v>
      </c>
      <c r="E118" s="1">
        <f t="shared" si="9"/>
        <v>87121.212380298501</v>
      </c>
    </row>
    <row r="119" spans="1:5">
      <c r="A119">
        <f t="shared" si="5"/>
        <v>106</v>
      </c>
      <c r="B119" s="1">
        <f t="shared" si="6"/>
        <v>6132.6312544232078</v>
      </c>
      <c r="C119" s="1">
        <f t="shared" si="7"/>
        <v>5533.6729193086558</v>
      </c>
      <c r="D119" s="1">
        <f t="shared" si="8"/>
        <v>598.95833511455214</v>
      </c>
      <c r="E119" s="1">
        <f t="shared" si="9"/>
        <v>81587.53946098985</v>
      </c>
    </row>
    <row r="120" spans="1:5">
      <c r="A120">
        <f t="shared" si="5"/>
        <v>107</v>
      </c>
      <c r="B120" s="1">
        <f t="shared" si="6"/>
        <v>6132.6312544232078</v>
      </c>
      <c r="C120" s="1">
        <f t="shared" si="7"/>
        <v>5571.7169206289027</v>
      </c>
      <c r="D120" s="1">
        <f t="shared" si="8"/>
        <v>560.91433379430521</v>
      </c>
      <c r="E120" s="1">
        <f t="shared" si="9"/>
        <v>76015.822540360954</v>
      </c>
    </row>
    <row r="121" spans="1:5">
      <c r="A121">
        <f t="shared" si="5"/>
        <v>108</v>
      </c>
      <c r="B121" s="1">
        <f t="shared" si="6"/>
        <v>6132.6312544232078</v>
      </c>
      <c r="C121" s="1">
        <f t="shared" si="7"/>
        <v>5610.0224744582265</v>
      </c>
      <c r="D121" s="1">
        <f t="shared" si="8"/>
        <v>522.60877996498152</v>
      </c>
      <c r="E121" s="1">
        <f t="shared" si="9"/>
        <v>70405.800065902731</v>
      </c>
    </row>
    <row r="122" spans="1:5">
      <c r="A122">
        <f t="shared" si="5"/>
        <v>109</v>
      </c>
      <c r="B122" s="1">
        <f t="shared" si="6"/>
        <v>6132.6312544232078</v>
      </c>
      <c r="C122" s="1">
        <f t="shared" si="7"/>
        <v>5648.5913789701262</v>
      </c>
      <c r="D122" s="1">
        <f t="shared" si="8"/>
        <v>484.03987545308127</v>
      </c>
      <c r="E122" s="1">
        <f t="shared" si="9"/>
        <v>64757.208686932601</v>
      </c>
    </row>
    <row r="123" spans="1:5">
      <c r="A123">
        <f t="shared" si="5"/>
        <v>110</v>
      </c>
      <c r="B123" s="1">
        <f t="shared" si="6"/>
        <v>6132.6312544232078</v>
      </c>
      <c r="C123" s="1">
        <f t="shared" si="7"/>
        <v>5687.425444700546</v>
      </c>
      <c r="D123" s="1">
        <f t="shared" si="8"/>
        <v>445.20580972266163</v>
      </c>
      <c r="E123" s="1">
        <f t="shared" si="9"/>
        <v>59069.783242232057</v>
      </c>
    </row>
    <row r="124" spans="1:5">
      <c r="A124">
        <f t="shared" si="5"/>
        <v>111</v>
      </c>
      <c r="B124" s="1">
        <f t="shared" si="6"/>
        <v>6132.6312544232078</v>
      </c>
      <c r="C124" s="1">
        <f t="shared" si="7"/>
        <v>5726.5264946328625</v>
      </c>
      <c r="D124" s="1">
        <f t="shared" si="8"/>
        <v>406.10475979034538</v>
      </c>
      <c r="E124" s="1">
        <f t="shared" si="9"/>
        <v>53343.256747599196</v>
      </c>
    </row>
    <row r="125" spans="1:5">
      <c r="A125">
        <f t="shared" si="5"/>
        <v>112</v>
      </c>
      <c r="B125" s="1">
        <f t="shared" si="6"/>
        <v>6132.6312544232078</v>
      </c>
      <c r="C125" s="1">
        <f t="shared" si="7"/>
        <v>5765.8963642834633</v>
      </c>
      <c r="D125" s="1">
        <f t="shared" si="8"/>
        <v>366.73489013974449</v>
      </c>
      <c r="E125" s="1">
        <f t="shared" si="9"/>
        <v>47577.360383315732</v>
      </c>
    </row>
    <row r="126" spans="1:5">
      <c r="A126">
        <f t="shared" si="5"/>
        <v>113</v>
      </c>
      <c r="B126" s="1">
        <f t="shared" si="6"/>
        <v>6132.6312544232078</v>
      </c>
      <c r="C126" s="1">
        <f t="shared" si="7"/>
        <v>5805.536901787912</v>
      </c>
      <c r="D126" s="1">
        <f t="shared" si="8"/>
        <v>327.09435263529565</v>
      </c>
      <c r="E126" s="1">
        <f t="shared" si="9"/>
        <v>41771.823481527819</v>
      </c>
    </row>
    <row r="127" spans="1:5">
      <c r="A127">
        <f t="shared" si="5"/>
        <v>114</v>
      </c>
      <c r="B127" s="1">
        <f t="shared" si="6"/>
        <v>6132.6312544232078</v>
      </c>
      <c r="C127" s="1">
        <f t="shared" si="7"/>
        <v>5845.4499679877044</v>
      </c>
      <c r="D127" s="1">
        <f t="shared" si="8"/>
        <v>287.18128643550375</v>
      </c>
      <c r="E127" s="1">
        <f t="shared" si="9"/>
        <v>35926.373513540115</v>
      </c>
    </row>
    <row r="128" spans="1:5">
      <c r="A128">
        <f t="shared" si="5"/>
        <v>115</v>
      </c>
      <c r="B128" s="1">
        <f t="shared" si="6"/>
        <v>6132.6312544232078</v>
      </c>
      <c r="C128" s="1">
        <f t="shared" si="7"/>
        <v>5885.6374365176198</v>
      </c>
      <c r="D128" s="1">
        <f t="shared" si="8"/>
        <v>246.99381790558829</v>
      </c>
      <c r="E128" s="1">
        <f t="shared" si="9"/>
        <v>30040.736077022495</v>
      </c>
    </row>
    <row r="129" spans="1:5">
      <c r="A129">
        <f t="shared" si="5"/>
        <v>116</v>
      </c>
      <c r="B129" s="1">
        <f t="shared" si="6"/>
        <v>6132.6312544232078</v>
      </c>
      <c r="C129" s="1">
        <f t="shared" si="7"/>
        <v>5926.1011938936781</v>
      </c>
      <c r="D129" s="1">
        <f t="shared" si="8"/>
        <v>206.53006052952966</v>
      </c>
      <c r="E129" s="1">
        <f t="shared" si="9"/>
        <v>24114.634883128816</v>
      </c>
    </row>
    <row r="130" spans="1:5">
      <c r="A130">
        <f t="shared" si="5"/>
        <v>117</v>
      </c>
      <c r="B130" s="1">
        <f t="shared" si="6"/>
        <v>6132.6312544232078</v>
      </c>
      <c r="C130" s="1">
        <f t="shared" si="7"/>
        <v>5966.8431396016967</v>
      </c>
      <c r="D130" s="1">
        <f t="shared" si="8"/>
        <v>165.78811482151062</v>
      </c>
      <c r="E130" s="1">
        <f t="shared" si="9"/>
        <v>18147.791743527119</v>
      </c>
    </row>
    <row r="131" spans="1:5">
      <c r="A131">
        <f t="shared" si="5"/>
        <v>118</v>
      </c>
      <c r="B131" s="1">
        <f t="shared" si="6"/>
        <v>6132.6312544232078</v>
      </c>
      <c r="C131" s="1">
        <f t="shared" si="7"/>
        <v>6007.8651861864591</v>
      </c>
      <c r="D131" s="1">
        <f t="shared" si="8"/>
        <v>124.76606823674895</v>
      </c>
      <c r="E131" s="1">
        <f t="shared" si="9"/>
        <v>12139.926557340659</v>
      </c>
    </row>
    <row r="132" spans="1:5">
      <c r="A132">
        <f t="shared" si="5"/>
        <v>119</v>
      </c>
      <c r="B132" s="1">
        <f t="shared" si="6"/>
        <v>6132.6312544232078</v>
      </c>
      <c r="C132" s="1">
        <f t="shared" si="7"/>
        <v>6049.1692593414909</v>
      </c>
      <c r="D132" s="1">
        <f t="shared" si="8"/>
        <v>83.461995081717035</v>
      </c>
      <c r="E132" s="1">
        <f t="shared" si="9"/>
        <v>6090.7572979991683</v>
      </c>
    </row>
    <row r="133" spans="1:5">
      <c r="A133">
        <f t="shared" si="5"/>
        <v>120</v>
      </c>
      <c r="B133" s="1">
        <f t="shared" si="6"/>
        <v>6132.6312544232078</v>
      </c>
      <c r="C133" s="1">
        <f t="shared" si="7"/>
        <v>6090.7572979994638</v>
      </c>
      <c r="D133" s="1">
        <f t="shared" si="8"/>
        <v>41.873956423744282</v>
      </c>
      <c r="E133" s="1">
        <f t="shared" si="9"/>
        <v>-2.9558577807620168E-10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R39" sqref="R39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F5" sqref="F5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418403.86673684214</v>
      </c>
      <c r="H7" s="94">
        <f>'Profit and Loss Statement'!F21/'Profit and Loss Statement'!F8</f>
        <v>433862.40077894734</v>
      </c>
      <c r="I7" s="94">
        <f>'Profit and Loss Statement'!G21/'Profit and Loss Statement'!G8</f>
        <v>450285.85896210524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418403.86673684214</v>
      </c>
      <c r="H11" s="114">
        <f t="shared" ref="H11:K11" si="0">H7</f>
        <v>433862.40077894734</v>
      </c>
      <c r="I11" s="114">
        <f t="shared" si="0"/>
        <v>450285.85896210524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algorithmName="SHA-512" hashValue="BciX8SIgXA3/NBFBxPPE1wYwdvHEUV1aUyQK9ollGcEzEsKmZ+2ibrCKwtF3IMDqSkXtTS/SD/eMGJiBx0/DpQ==" saltValue="ITFP0+9AbpbW6R7j/6nkww==" spinCount="100000" sheet="1" scenarios="1"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U12" sqref="U12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0.16122598426034176</v>
      </c>
      <c r="G12" s="101">
        <f>'Profit and Loss Statement'!F28/'Profit and Loss Statement'!F6</f>
        <v>0.19551828097441423</v>
      </c>
      <c r="H12" s="101">
        <f>'Profit and Loss Statement'!G28/'Profit and Loss Statement'!G6</f>
        <v>0.22714550479835788</v>
      </c>
      <c r="I12" s="128"/>
      <c r="J12" s="128"/>
    </row>
    <row r="13" spans="5:10">
      <c r="E13" s="66" t="s">
        <v>92</v>
      </c>
      <c r="F13" s="105">
        <f>'Balance Sheet'!E10/'Balance Sheet'!E15</f>
        <v>1.2328625318746942</v>
      </c>
      <c r="G13" s="105">
        <f>'Balance Sheet'!F10/'Balance Sheet'!F15</f>
        <v>1.2968708314953312</v>
      </c>
      <c r="H13" s="105">
        <f>'Balance Sheet'!G10/'Balance Sheet'!G15</f>
        <v>1.4050478429756572</v>
      </c>
      <c r="I13" s="129"/>
      <c r="J13" s="129"/>
    </row>
    <row r="14" spans="5:10">
      <c r="E14" s="66" t="s">
        <v>93</v>
      </c>
      <c r="F14" s="105">
        <f>'Balance Sheet'!E17/'Balance Sheet'!E15</f>
        <v>0.23286253187469425</v>
      </c>
      <c r="G14" s="105">
        <f>'Balance Sheet'!F17/'Balance Sheet'!F15</f>
        <v>0.29687083149533128</v>
      </c>
      <c r="H14" s="105">
        <f>'Balance Sheet'!G17/'Balance Sheet'!G15</f>
        <v>0.40504784297565721</v>
      </c>
      <c r="I14" s="129"/>
      <c r="J14" s="129"/>
    </row>
    <row r="15" spans="5:10">
      <c r="E15" s="66" t="s">
        <v>94</v>
      </c>
      <c r="F15" s="105">
        <f>'Balance Sheet'!E10/'Balance Sheet'!E17</f>
        <v>5.2943791427042903</v>
      </c>
      <c r="G15" s="105">
        <f>'Balance Sheet'!F10/'Balance Sheet'!F17</f>
        <v>4.3684683502350969</v>
      </c>
      <c r="H15" s="105">
        <f>'Balance Sheet'!G10/'Balance Sheet'!G17</f>
        <v>3.468844155923819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0.14529342114986171</v>
      </c>
      <c r="G18" s="105">
        <f>'Balance Sheet'!F7/'Balance Sheet'!F10</f>
        <v>0.17876499190383893</v>
      </c>
      <c r="H18" s="105">
        <f>'Balance Sheet'!G7/'Balance Sheet'!G10</f>
        <v>0.22645210230684887</v>
      </c>
      <c r="I18" s="129"/>
      <c r="J18" s="129"/>
    </row>
    <row r="19" spans="5:10">
      <c r="E19" s="66" t="s">
        <v>96</v>
      </c>
      <c r="F19" s="105">
        <f>'Balance Sheet'!E7/'Balance Sheet'!E15</f>
        <v>0.17912681506355477</v>
      </c>
      <c r="G19" s="105">
        <f>'Balance Sheet'!F7/'Balance Sheet'!F15</f>
        <v>0.23183510369258778</v>
      </c>
      <c r="H19" s="105">
        <f>'Balance Sheet'!G7/'Balance Sheet'!G15</f>
        <v>0.31817603788354082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24" sqref="C24:D29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21.425781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75000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119</v>
      </c>
      <c r="C6" s="14">
        <v>50000</v>
      </c>
      <c r="G6" s="4" t="str">
        <f>B5</f>
        <v>Senior Management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7"/>
      <c r="N6" s="117"/>
    </row>
    <row r="7" spans="2:14">
      <c r="B7" s="4" t="s">
        <v>132</v>
      </c>
      <c r="C7" s="14">
        <v>35000</v>
      </c>
      <c r="G7" s="4" t="str">
        <f>B6</f>
        <v>Operational Managers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17"/>
      <c r="N7" s="117"/>
    </row>
    <row r="8" spans="2:14">
      <c r="B8" s="4" t="s">
        <v>133</v>
      </c>
      <c r="C8" s="14">
        <v>30000</v>
      </c>
      <c r="G8" s="4" t="str">
        <f>B7</f>
        <v>Location Staff</v>
      </c>
      <c r="H8" s="14">
        <f t="shared" si="0"/>
        <v>105000</v>
      </c>
      <c r="I8" s="14">
        <f t="shared" si="1"/>
        <v>108150</v>
      </c>
      <c r="J8" s="14">
        <f t="shared" si="2"/>
        <v>111394.5</v>
      </c>
      <c r="M8" s="117"/>
      <c r="N8" s="117"/>
    </row>
    <row r="9" spans="2:14">
      <c r="B9" s="4" t="s">
        <v>131</v>
      </c>
      <c r="C9" s="14">
        <v>40000</v>
      </c>
      <c r="G9" s="4" t="str">
        <f>B8</f>
        <v>Bookkeeper</v>
      </c>
      <c r="H9" s="14">
        <f t="shared" si="0"/>
        <v>30000</v>
      </c>
      <c r="I9" s="14">
        <f t="shared" si="1"/>
        <v>30900</v>
      </c>
      <c r="J9" s="14">
        <f t="shared" si="2"/>
        <v>31827</v>
      </c>
      <c r="M9" s="117"/>
      <c r="N9" s="117"/>
    </row>
    <row r="10" spans="2:14">
      <c r="B10" s="4" t="s">
        <v>121</v>
      </c>
      <c r="C10" s="14">
        <v>0</v>
      </c>
      <c r="G10" s="4" t="str">
        <f>B9</f>
        <v>Administrative Staff</v>
      </c>
      <c r="H10" s="14">
        <f t="shared" si="0"/>
        <v>40000</v>
      </c>
      <c r="I10" s="14">
        <f t="shared" si="1"/>
        <v>41200</v>
      </c>
      <c r="J10" s="14">
        <f t="shared" si="2"/>
        <v>42436</v>
      </c>
      <c r="M10" s="117"/>
      <c r="N10" s="117"/>
    </row>
    <row r="11" spans="2:14">
      <c r="B11" s="4" t="s">
        <v>126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127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128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125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300000</v>
      </c>
      <c r="I16" s="9">
        <f t="shared" ref="I16:J16" si="3">SUM(I6:I15)</f>
        <v>309000</v>
      </c>
      <c r="J16" s="9">
        <f t="shared" si="3"/>
        <v>318270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Location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Bookkeeper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Location Staff</v>
      </c>
      <c r="C26" s="5">
        <v>3</v>
      </c>
      <c r="D26" s="5">
        <v>3</v>
      </c>
      <c r="E26" s="5">
        <v>3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Bookkeeper</v>
      </c>
      <c r="C27" s="5">
        <v>1</v>
      </c>
      <c r="D27" s="5">
        <v>1</v>
      </c>
      <c r="E27" s="5">
        <v>1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7</v>
      </c>
      <c r="I28" s="10">
        <f t="shared" ref="I28:J28" si="8">SUM(I18:I27)</f>
        <v>7</v>
      </c>
      <c r="J28" s="10">
        <f t="shared" si="8"/>
        <v>7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121</v>
      </c>
      <c r="C29" s="5"/>
      <c r="D29" s="5"/>
      <c r="E29" s="5"/>
      <c r="L29" s="115"/>
      <c r="M29" s="115"/>
      <c r="N29" s="115"/>
      <c r="O29" s="115"/>
      <c r="P29" s="115"/>
      <c r="Q29" s="115"/>
      <c r="R29" s="115"/>
      <c r="S29" s="115"/>
      <c r="T29" s="115"/>
    </row>
    <row r="30" spans="2:20">
      <c r="B30" s="15" t="s">
        <v>122</v>
      </c>
      <c r="C30" s="5"/>
      <c r="D30" s="5"/>
      <c r="E30" s="5"/>
      <c r="L30" s="115"/>
      <c r="M30" s="115"/>
      <c r="N30" s="115"/>
      <c r="O30" s="115"/>
      <c r="P30" s="115"/>
      <c r="Q30" s="115"/>
      <c r="R30" s="115"/>
      <c r="S30" s="115"/>
      <c r="T30" s="115"/>
    </row>
    <row r="31" spans="2:20">
      <c r="B31" s="15" t="s">
        <v>123</v>
      </c>
      <c r="C31" s="5"/>
      <c r="D31" s="5"/>
      <c r="E31" s="5"/>
      <c r="L31" s="112" t="str">
        <f>G6</f>
        <v>Senior Management</v>
      </c>
      <c r="M31" s="113">
        <f>J6/$J$16</f>
        <v>0.25</v>
      </c>
      <c r="N31" s="115"/>
      <c r="O31" s="115"/>
      <c r="P31" s="115"/>
      <c r="Q31" s="115"/>
      <c r="R31" s="115"/>
      <c r="S31" s="115"/>
      <c r="T31" s="115"/>
    </row>
    <row r="32" spans="2:20">
      <c r="B32" s="15" t="s">
        <v>124</v>
      </c>
      <c r="C32" s="5"/>
      <c r="D32" s="5"/>
      <c r="E32" s="5"/>
      <c r="F32" s="30"/>
      <c r="G32" s="30"/>
      <c r="L32" s="112" t="str">
        <f t="shared" ref="L32:L40" si="9">G7</f>
        <v>Operational Managers</v>
      </c>
      <c r="M32" s="113">
        <f t="shared" ref="M32:M40" si="10">J7/$J$16</f>
        <v>0.16666666666666666</v>
      </c>
      <c r="N32" s="115"/>
      <c r="O32" s="115"/>
      <c r="P32" s="115"/>
      <c r="Q32" s="115"/>
      <c r="T32" s="115"/>
    </row>
    <row r="33" spans="2:20">
      <c r="B33" s="15" t="s">
        <v>125</v>
      </c>
      <c r="C33" s="5"/>
      <c r="D33" s="5"/>
      <c r="E33" s="5"/>
      <c r="F33" s="30"/>
      <c r="G33" s="30"/>
      <c r="L33" s="112" t="str">
        <f t="shared" si="9"/>
        <v>Location Staff</v>
      </c>
      <c r="M33" s="113">
        <f t="shared" si="10"/>
        <v>0.35</v>
      </c>
      <c r="N33" s="115"/>
      <c r="O33" s="115"/>
      <c r="P33" s="115"/>
      <c r="Q33" s="115"/>
      <c r="T33" s="115"/>
    </row>
    <row r="34" spans="2:20">
      <c r="F34" s="43"/>
      <c r="G34" s="43"/>
      <c r="L34" s="112" t="str">
        <f t="shared" si="9"/>
        <v>Bookkeeper</v>
      </c>
      <c r="M34" s="113">
        <f t="shared" si="10"/>
        <v>0.1</v>
      </c>
      <c r="N34" s="115"/>
      <c r="O34" s="115"/>
      <c r="P34" s="115"/>
      <c r="Q34" s="115"/>
      <c r="T34" s="115"/>
    </row>
    <row r="35" spans="2:20">
      <c r="F35" s="43"/>
      <c r="G35" s="43"/>
      <c r="L35" s="112" t="str">
        <f t="shared" si="9"/>
        <v>Administrative Staff</v>
      </c>
      <c r="M35" s="113">
        <f t="shared" si="10"/>
        <v>0.13333333333333333</v>
      </c>
      <c r="N35" s="115"/>
      <c r="O35" s="115"/>
      <c r="P35" s="115"/>
      <c r="Q35" s="115"/>
      <c r="T35" s="115"/>
    </row>
    <row r="36" spans="2:20">
      <c r="F36" s="43"/>
      <c r="G36" s="43"/>
      <c r="L36" s="112" t="str">
        <f t="shared" si="9"/>
        <v>Position 6</v>
      </c>
      <c r="M36" s="113">
        <f t="shared" si="10"/>
        <v>0</v>
      </c>
      <c r="N36" s="115"/>
      <c r="O36" s="115"/>
      <c r="P36" s="115"/>
      <c r="Q36" s="115"/>
      <c r="T36" s="115"/>
    </row>
    <row r="37" spans="2:20">
      <c r="F37" s="43"/>
      <c r="G37" s="43"/>
      <c r="L37" s="112" t="str">
        <f t="shared" si="9"/>
        <v>Position 7</v>
      </c>
      <c r="M37" s="113">
        <f t="shared" si="10"/>
        <v>0</v>
      </c>
      <c r="N37" s="115"/>
      <c r="O37" s="115"/>
      <c r="P37" s="115"/>
      <c r="Q37" s="115"/>
      <c r="R37" s="115"/>
      <c r="S37" s="116"/>
      <c r="T37" s="115"/>
    </row>
    <row r="38" spans="2:20">
      <c r="F38" s="43"/>
      <c r="G38" s="43"/>
      <c r="L38" s="112" t="str">
        <f t="shared" si="9"/>
        <v>Position 8</v>
      </c>
      <c r="M38" s="113">
        <f t="shared" si="10"/>
        <v>0</v>
      </c>
      <c r="N38" s="115"/>
      <c r="O38" s="115"/>
      <c r="P38" s="115"/>
      <c r="Q38" s="115"/>
      <c r="R38" s="112"/>
      <c r="S38" s="113"/>
    </row>
    <row r="39" spans="2:20">
      <c r="F39" s="43"/>
      <c r="G39" s="43"/>
      <c r="L39" s="112" t="str">
        <f t="shared" si="9"/>
        <v>Position 9</v>
      </c>
      <c r="M39" s="113">
        <f t="shared" si="10"/>
        <v>0</v>
      </c>
      <c r="N39" s="115"/>
      <c r="O39" s="115"/>
      <c r="P39" s="115"/>
      <c r="Q39" s="115"/>
      <c r="S39" s="111"/>
    </row>
    <row r="40" spans="2:20">
      <c r="F40" s="43"/>
      <c r="G40" s="43"/>
      <c r="L40" s="112" t="str">
        <f t="shared" si="9"/>
        <v>Position 10</v>
      </c>
      <c r="M40" s="113">
        <f t="shared" si="10"/>
        <v>0</v>
      </c>
      <c r="N40" s="115"/>
      <c r="O40" s="115"/>
      <c r="P40" s="115"/>
      <c r="Q40" s="115"/>
    </row>
    <row r="41" spans="2:20">
      <c r="F41" s="43"/>
      <c r="G41" s="43"/>
      <c r="L41" s="112" t="str">
        <f t="shared" ref="L41" si="11">G16</f>
        <v>Total</v>
      </c>
      <c r="M41" s="113">
        <f t="shared" ref="M41" si="12">J16/$J$16</f>
        <v>1</v>
      </c>
      <c r="N41" s="115"/>
      <c r="O41" s="115"/>
      <c r="P41" s="115"/>
      <c r="Q41" s="115"/>
    </row>
    <row r="42" spans="2:20">
      <c r="F42" s="43"/>
      <c r="G42" s="43"/>
      <c r="N42" s="115"/>
      <c r="O42" s="115"/>
      <c r="P42" s="115"/>
      <c r="Q42" s="115"/>
    </row>
    <row r="43" spans="2:20">
      <c r="F43" s="43"/>
      <c r="G43" s="43"/>
      <c r="L43" s="115"/>
      <c r="M43" s="115"/>
      <c r="N43" s="115"/>
      <c r="O43" s="115"/>
      <c r="P43" s="115"/>
      <c r="Q43" s="115"/>
    </row>
    <row r="44" spans="2:20">
      <c r="F44" s="43"/>
      <c r="G44" s="43"/>
      <c r="L44" s="115"/>
      <c r="M44" s="115"/>
      <c r="N44" s="115"/>
      <c r="O44" s="115"/>
      <c r="P44" s="115"/>
      <c r="Q44" s="115"/>
    </row>
    <row r="45" spans="2:20">
      <c r="F45" s="30"/>
      <c r="G45" s="30"/>
      <c r="L45" s="115"/>
      <c r="M45" s="115"/>
      <c r="N45" s="115"/>
      <c r="O45" s="115"/>
      <c r="P45" s="115"/>
      <c r="Q45" s="115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13">B6</f>
        <v>Operational Managers</v>
      </c>
      <c r="C59" s="14">
        <f t="shared" si="13"/>
        <v>50000</v>
      </c>
      <c r="D59" s="14">
        <f t="shared" ref="D59:G59" si="14">C59*(1+$C$53)</f>
        <v>51500</v>
      </c>
      <c r="E59" s="14">
        <f t="shared" si="14"/>
        <v>53045</v>
      </c>
      <c r="F59" s="14">
        <f t="shared" si="14"/>
        <v>54636.35</v>
      </c>
      <c r="G59" s="14">
        <f t="shared" si="14"/>
        <v>56275.440499999997</v>
      </c>
    </row>
    <row r="60" spans="2:7">
      <c r="B60" s="4" t="str">
        <f t="shared" si="13"/>
        <v>Location Staff</v>
      </c>
      <c r="C60" s="14">
        <f t="shared" si="13"/>
        <v>35000</v>
      </c>
      <c r="D60" s="14">
        <f t="shared" ref="D60:G60" si="15">C60*(1+$C$53)</f>
        <v>36050</v>
      </c>
      <c r="E60" s="14">
        <f t="shared" si="15"/>
        <v>37131.5</v>
      </c>
      <c r="F60" s="14">
        <f t="shared" si="15"/>
        <v>38245.445</v>
      </c>
      <c r="G60" s="14">
        <f t="shared" si="15"/>
        <v>39392.808349999999</v>
      </c>
    </row>
    <row r="61" spans="2:7">
      <c r="B61" s="4" t="str">
        <f t="shared" si="13"/>
        <v>Bookkeeper</v>
      </c>
      <c r="C61" s="14">
        <f t="shared" si="13"/>
        <v>30000</v>
      </c>
      <c r="D61" s="14">
        <f t="shared" ref="D61:G61" si="16">C61*(1+$C$53)</f>
        <v>30900</v>
      </c>
      <c r="E61" s="14">
        <f t="shared" si="16"/>
        <v>31827</v>
      </c>
      <c r="F61" s="14">
        <f t="shared" si="16"/>
        <v>32781.81</v>
      </c>
      <c r="G61" s="14">
        <f t="shared" si="16"/>
        <v>33765.264299999995</v>
      </c>
    </row>
    <row r="62" spans="2:7">
      <c r="B62" s="4" t="str">
        <f t="shared" si="13"/>
        <v>Administrative Staff</v>
      </c>
      <c r="C62" s="14">
        <f t="shared" si="13"/>
        <v>40000</v>
      </c>
      <c r="D62" s="14">
        <f t="shared" ref="D62:G62" si="17">C62*(1+$C$53)</f>
        <v>41200</v>
      </c>
      <c r="E62" s="14">
        <f t="shared" si="17"/>
        <v>42436</v>
      </c>
      <c r="F62" s="14">
        <f t="shared" si="17"/>
        <v>43709.08</v>
      </c>
      <c r="G62" s="14">
        <f t="shared" si="17"/>
        <v>45020.352400000003</v>
      </c>
    </row>
    <row r="63" spans="2:7">
      <c r="B63" s="4" t="str">
        <f t="shared" si="13"/>
        <v>Position 6</v>
      </c>
      <c r="C63" s="14">
        <f t="shared" si="13"/>
        <v>0</v>
      </c>
      <c r="D63" s="14">
        <f t="shared" ref="D63:G63" si="18">C63*(1+$C$53)</f>
        <v>0</v>
      </c>
      <c r="E63" s="14">
        <f t="shared" si="18"/>
        <v>0</v>
      </c>
      <c r="F63" s="14">
        <f t="shared" si="18"/>
        <v>0</v>
      </c>
      <c r="G63" s="14">
        <f t="shared" si="18"/>
        <v>0</v>
      </c>
    </row>
    <row r="64" spans="2:7">
      <c r="B64" s="4" t="str">
        <f t="shared" si="13"/>
        <v>Postiion 7</v>
      </c>
      <c r="C64" s="14">
        <f t="shared" si="13"/>
        <v>0</v>
      </c>
      <c r="D64" s="14">
        <f t="shared" ref="D64:G64" si="19">C64*(1+$C$53)</f>
        <v>0</v>
      </c>
      <c r="E64" s="14">
        <f t="shared" si="19"/>
        <v>0</v>
      </c>
      <c r="F64" s="14">
        <f t="shared" si="19"/>
        <v>0</v>
      </c>
      <c r="G64" s="14">
        <f t="shared" si="19"/>
        <v>0</v>
      </c>
    </row>
    <row r="65" spans="2:7">
      <c r="B65" s="4" t="str">
        <f t="shared" si="13"/>
        <v>Postiion 8</v>
      </c>
      <c r="C65" s="14">
        <f t="shared" si="13"/>
        <v>0</v>
      </c>
      <c r="D65" s="14">
        <f t="shared" ref="D65:G65" si="20">C65*(1+$C$53)</f>
        <v>0</v>
      </c>
      <c r="E65" s="14">
        <f t="shared" si="20"/>
        <v>0</v>
      </c>
      <c r="F65" s="14">
        <f t="shared" si="20"/>
        <v>0</v>
      </c>
      <c r="G65" s="14">
        <f t="shared" si="20"/>
        <v>0</v>
      </c>
    </row>
    <row r="66" spans="2:7">
      <c r="B66" s="4" t="str">
        <f t="shared" si="13"/>
        <v>Postiion 9</v>
      </c>
      <c r="C66" s="14">
        <f t="shared" si="13"/>
        <v>0</v>
      </c>
      <c r="D66" s="14">
        <f t="shared" ref="D66:G66" si="21">C66*(1+$C$53)</f>
        <v>0</v>
      </c>
      <c r="E66" s="14">
        <f t="shared" si="21"/>
        <v>0</v>
      </c>
      <c r="F66" s="14">
        <f t="shared" si="21"/>
        <v>0</v>
      </c>
      <c r="G66" s="14">
        <f t="shared" si="21"/>
        <v>0</v>
      </c>
    </row>
    <row r="67" spans="2:7">
      <c r="B67" s="4" t="str">
        <f t="shared" si="13"/>
        <v>Position 10</v>
      </c>
      <c r="C67" s="14">
        <f t="shared" si="13"/>
        <v>0</v>
      </c>
      <c r="D67" s="14">
        <f t="shared" ref="D67:G67" si="22">C67*(1+$C$53)</f>
        <v>0</v>
      </c>
      <c r="E67" s="14">
        <f t="shared" si="22"/>
        <v>0</v>
      </c>
      <c r="F67" s="14">
        <f t="shared" si="22"/>
        <v>0</v>
      </c>
      <c r="G67" s="14">
        <f t="shared" si="22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0" sqref="E20:E23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135</v>
      </c>
      <c r="E6" s="6">
        <v>450000</v>
      </c>
    </row>
    <row r="7" spans="4:5">
      <c r="D7" s="21" t="s">
        <v>134</v>
      </c>
      <c r="E7" s="6">
        <v>75000</v>
      </c>
    </row>
    <row r="8" spans="4:5">
      <c r="D8" s="21" t="s">
        <v>116</v>
      </c>
      <c r="E8" s="6">
        <v>25000</v>
      </c>
    </row>
    <row r="9" spans="4:5">
      <c r="D9" s="21" t="s">
        <v>0</v>
      </c>
      <c r="E9" s="6">
        <v>50000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600000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100000</v>
      </c>
    </row>
    <row r="22" spans="4:5">
      <c r="D22" s="4" t="s">
        <v>99</v>
      </c>
      <c r="E22" s="14">
        <v>500000</v>
      </c>
    </row>
    <row r="23" spans="4:5">
      <c r="D23" s="4" t="s">
        <v>100</v>
      </c>
      <c r="E23" s="14">
        <f>SUM(E21:E22)</f>
        <v>600000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F28" sqref="F28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653046</v>
      </c>
      <c r="F6" s="69">
        <f>'Revenue Overview'!G16</f>
        <v>718350.60000000009</v>
      </c>
      <c r="G6" s="81">
        <f>'Revenue Overview'!H16</f>
        <v>790185.66000000015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32652.300000000003</v>
      </c>
      <c r="F7" s="71">
        <f>'Revenue Overview'!G31</f>
        <v>35917.530000000006</v>
      </c>
      <c r="G7" s="80">
        <f>'Revenue Overview'!H31</f>
        <v>39509.28300000001</v>
      </c>
      <c r="H7" s="136"/>
      <c r="I7" s="136"/>
      <c r="J7" s="115"/>
      <c r="K7" s="112" t="s">
        <v>51</v>
      </c>
      <c r="L7" s="114">
        <f>E6</f>
        <v>653046</v>
      </c>
      <c r="M7" s="114">
        <f>F6</f>
        <v>718350.60000000009</v>
      </c>
      <c r="N7" s="114">
        <f>G6</f>
        <v>790185.66000000015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653046</v>
      </c>
      <c r="M8" s="114">
        <f>F6</f>
        <v>718350.60000000009</v>
      </c>
      <c r="N8" s="114">
        <f>G6</f>
        <v>790185.66000000015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620393.69999999995</v>
      </c>
      <c r="F10" s="76">
        <f t="shared" ref="F10:G10" si="1">F6-F7</f>
        <v>682433.07000000007</v>
      </c>
      <c r="G10" s="84">
        <f t="shared" si="1"/>
        <v>750676.37700000009</v>
      </c>
      <c r="H10" s="135"/>
      <c r="I10" s="135"/>
      <c r="J10" s="115"/>
      <c r="K10" s="112" t="s">
        <v>47</v>
      </c>
      <c r="L10" s="114">
        <f>E23</f>
        <v>222910.02659999992</v>
      </c>
      <c r="M10" s="114">
        <f>F23</f>
        <v>270263.78926000011</v>
      </c>
      <c r="N10" s="114">
        <f>G23</f>
        <v>322904.81098600011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222910.02659999992</v>
      </c>
      <c r="M11" s="114">
        <f t="shared" ref="M11:N11" si="2">M10</f>
        <v>270263.78926000011</v>
      </c>
      <c r="N11" s="114">
        <f t="shared" si="2"/>
        <v>322904.81098600011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300000</v>
      </c>
      <c r="F13" s="78">
        <f>'Personnel - Editable'!I16</f>
        <v>309000</v>
      </c>
      <c r="G13" s="78">
        <f>'Personnel - Editable'!J16</f>
        <v>318270</v>
      </c>
      <c r="H13" s="136"/>
      <c r="I13" s="136"/>
      <c r="J13" s="115"/>
      <c r="K13" s="112" t="s">
        <v>75</v>
      </c>
      <c r="L13" s="114">
        <f>E21</f>
        <v>397483.67340000003</v>
      </c>
      <c r="M13" s="114">
        <f>F21</f>
        <v>412169.28073999996</v>
      </c>
      <c r="N13" s="114">
        <f>G21</f>
        <v>427771.56601399998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26018</v>
      </c>
      <c r="F14" s="80">
        <f>Inputs!D18</f>
        <v>26798.54</v>
      </c>
      <c r="G14" s="80">
        <f>Inputs!E18</f>
        <v>27602.496200000001</v>
      </c>
      <c r="H14" s="136"/>
      <c r="I14" s="136"/>
      <c r="J14" s="115"/>
      <c r="K14" s="112" t="s">
        <v>78</v>
      </c>
      <c r="L14" s="114">
        <f>E21</f>
        <v>397483.67340000003</v>
      </c>
      <c r="M14" s="114">
        <f>F21</f>
        <v>412169.28073999996</v>
      </c>
      <c r="N14" s="114">
        <f>G21</f>
        <v>427771.56601399998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10252.822199999999</v>
      </c>
      <c r="F15" s="78">
        <f>Inputs!D19</f>
        <v>11278.10442</v>
      </c>
      <c r="G15" s="78">
        <f>Inputs!E19</f>
        <v>12405.914862000001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9926.2991999999995</v>
      </c>
      <c r="F16" s="80">
        <f>Inputs!D20</f>
        <v>10918.929120000001</v>
      </c>
      <c r="G16" s="80">
        <f>Inputs!E20</f>
        <v>12010.822032000002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18000</v>
      </c>
      <c r="F17" s="78">
        <f>Inputs!D21</f>
        <v>18540</v>
      </c>
      <c r="G17" s="78">
        <f>Inputs!E21</f>
        <v>19096.2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7836.5520000000006</v>
      </c>
      <c r="F18" s="80">
        <f>Inputs!D22</f>
        <v>8620.2072000000007</v>
      </c>
      <c r="G18" s="80">
        <f>Inputs!E22</f>
        <v>9482.2279200000012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2500</v>
      </c>
      <c r="F19" s="78">
        <f>Inputs!D23</f>
        <v>3375</v>
      </c>
      <c r="G19" s="78">
        <f>Inputs!E23</f>
        <v>4556.25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22950</v>
      </c>
      <c r="F20" s="80">
        <f>F13*'Tax Assumptions '!G9</f>
        <v>23638.5</v>
      </c>
      <c r="G20" s="80">
        <f>G13*'Tax Assumptions '!H9</f>
        <v>24347.654999999999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397483.67340000003</v>
      </c>
      <c r="F21" s="81">
        <f t="shared" ref="F21:G21" si="3">SUM(F13:F20)</f>
        <v>412169.28073999996</v>
      </c>
      <c r="G21" s="81">
        <f t="shared" si="3"/>
        <v>427771.56601399998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222910.02659999992</v>
      </c>
      <c r="F23" s="83">
        <f t="shared" ref="F23:G23" si="4">F10-F21</f>
        <v>270263.78926000011</v>
      </c>
      <c r="G23" s="83">
        <f t="shared" si="4"/>
        <v>322904.81098600011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37602.851470456837</v>
      </c>
      <c r="F24" s="78">
        <f>(F23-F26-F27)*'Tax Assumptions '!G7</f>
        <v>50160.95516033539</v>
      </c>
      <c r="G24" s="78">
        <f>(G23-G26-G27)*'Tax Assumptions '!H7</f>
        <v>64102.543080401287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7520.5702940913679</v>
      </c>
      <c r="F25" s="80">
        <f>(F23-F26-F27)*'Tax Assumptions '!G8</f>
        <v>10032.19103206708</v>
      </c>
      <c r="G25" s="80">
        <f>(G23-G26-G27)*'Tax Assumptions '!H8</f>
        <v>12820.508616080258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39998.620718172569</v>
      </c>
      <c r="F26" s="78">
        <f>SUM('Loan Amortization Table'!D26:D37)</f>
        <v>37119.96861865856</v>
      </c>
      <c r="G26" s="78">
        <f>SUM('Loan Amortization Table'!D38:D49)</f>
        <v>33994.638664394966</v>
      </c>
      <c r="H26" s="127"/>
      <c r="I26" s="127"/>
    </row>
    <row r="27" spans="4:21">
      <c r="D27" s="70" t="s">
        <v>54</v>
      </c>
      <c r="E27" s="80">
        <v>32500</v>
      </c>
      <c r="F27" s="80">
        <v>32500</v>
      </c>
      <c r="G27" s="80">
        <v>32500</v>
      </c>
      <c r="H27" s="127"/>
      <c r="I27" s="127"/>
    </row>
    <row r="28" spans="4:21">
      <c r="D28" s="82" t="s">
        <v>17</v>
      </c>
      <c r="E28" s="83">
        <f>E23-SUM(E24:E27)</f>
        <v>105287.98411727915</v>
      </c>
      <c r="F28" s="83">
        <f t="shared" ref="F28:G28" si="5">F23-SUM(F24:F27)</f>
        <v>140450.67444893907</v>
      </c>
      <c r="G28" s="83">
        <f t="shared" si="5"/>
        <v>179487.12062512361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653046</v>
      </c>
      <c r="F32" s="69">
        <f t="shared" ref="F32:G32" si="6">F6</f>
        <v>718350.60000000009</v>
      </c>
      <c r="G32" s="81">
        <f t="shared" si="6"/>
        <v>790185.66000000015</v>
      </c>
      <c r="H32" s="131"/>
      <c r="I32" s="131"/>
    </row>
    <row r="33" spans="4:13">
      <c r="D33" s="70" t="s">
        <v>52</v>
      </c>
      <c r="E33" s="71">
        <f>E7</f>
        <v>32652.300000000003</v>
      </c>
      <c r="F33" s="71">
        <f t="shared" ref="F33:G33" si="7">F7</f>
        <v>35917.530000000006</v>
      </c>
      <c r="G33" s="80">
        <f t="shared" si="7"/>
        <v>39509.28300000001</v>
      </c>
      <c r="H33" s="127"/>
      <c r="I33" s="127"/>
    </row>
    <row r="34" spans="4:13">
      <c r="D34" s="68" t="s">
        <v>10</v>
      </c>
      <c r="E34" s="69">
        <f>E10</f>
        <v>620393.69999999995</v>
      </c>
      <c r="F34" s="69">
        <f t="shared" ref="F34:G34" si="8">F10</f>
        <v>682433.07000000007</v>
      </c>
      <c r="G34" s="81">
        <f t="shared" si="8"/>
        <v>750676.37700000009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397483.67340000003</v>
      </c>
      <c r="F35" s="84">
        <f t="shared" ref="F35:G35" si="9">F21</f>
        <v>412169.28073999996</v>
      </c>
      <c r="G35" s="84">
        <f t="shared" si="9"/>
        <v>427771.56601399998</v>
      </c>
      <c r="H35" s="131"/>
      <c r="I35" s="131"/>
    </row>
    <row r="36" spans="4:13">
      <c r="D36" s="82" t="s">
        <v>47</v>
      </c>
      <c r="E36" s="83">
        <f>E23</f>
        <v>222910.02659999992</v>
      </c>
      <c r="F36" s="83">
        <f t="shared" ref="F36:G36" si="10">F23</f>
        <v>270263.78926000011</v>
      </c>
      <c r="G36" s="83">
        <f t="shared" si="10"/>
        <v>322904.81098600011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algorithmName="SHA-512" hashValue="8ix0uaMuW+cdpsB5GAYBk3/C6OnyP+fhVs54LmXLV9DljQzPIsEhI85TH4UEWaOsu+UkNBzdgmsLPfgMV/W4yw==" saltValue="bTibEpRJBPENxEcKwb1fFg==" spinCount="100000" sheet="1" scenarios="1"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D4" sqref="D4"/>
    </sheetView>
  </sheetViews>
  <sheetFormatPr defaultRowHeight="15"/>
  <cols>
    <col min="4" max="4" width="24.710937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137787.98411727915</v>
      </c>
      <c r="F6" s="81">
        <f>'Profit and Loss Statement'!F28+'Profit and Loss Statement'!F27</f>
        <v>172950.67444893907</v>
      </c>
      <c r="G6" s="81">
        <f>'Profit and Loss Statement'!G28+'Profit and Loss Statement'!G27</f>
        <v>211987.12062512361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100000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500000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3259</v>
      </c>
      <c r="F11" s="78">
        <f>E11*1.02</f>
        <v>3324.18</v>
      </c>
      <c r="G11" s="78">
        <f>F11*1.02</f>
        <v>3390.6635999999999</v>
      </c>
      <c r="H11" s="127"/>
      <c r="I11" s="127"/>
    </row>
    <row r="12" spans="4:9">
      <c r="D12" s="75" t="s">
        <v>23</v>
      </c>
      <c r="E12" s="89">
        <f>SUM(E9:E11)</f>
        <v>603259</v>
      </c>
      <c r="F12" s="89">
        <f t="shared" ref="F12:G12" si="0">SUM(F9:F11)</f>
        <v>3324.18</v>
      </c>
      <c r="G12" s="89">
        <f t="shared" si="0"/>
        <v>3390.6635999999999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741046.98411727918</v>
      </c>
      <c r="F15" s="90">
        <f t="shared" ref="F15:G15" si="1">F12+F6</f>
        <v>176274.85444893906</v>
      </c>
      <c r="G15" s="90">
        <f t="shared" si="1"/>
        <v>215377.78422512361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33592.954334905924</v>
      </c>
      <c r="F18" s="80">
        <f>SUM('Loan Amortization Table'!C26:C37)</f>
        <v>36471.606434419933</v>
      </c>
      <c r="G18" s="80">
        <f>SUM('Loan Amortization Table'!C38:C49)</f>
        <v>39596.936388683527</v>
      </c>
      <c r="H18" s="127"/>
      <c r="I18" s="127"/>
    </row>
    <row r="19" spans="4:9">
      <c r="D19" s="72" t="s">
        <v>25</v>
      </c>
      <c r="E19" s="78">
        <f>E11*0.7</f>
        <v>2281.2999999999997</v>
      </c>
      <c r="F19" s="78">
        <f t="shared" ref="F19:G19" si="2">F11*0.7</f>
        <v>2326.9259999999999</v>
      </c>
      <c r="G19" s="78">
        <f t="shared" si="2"/>
        <v>2373.4645199999995</v>
      </c>
      <c r="H19" s="127"/>
      <c r="I19" s="127"/>
    </row>
    <row r="20" spans="4:9">
      <c r="D20" s="70" t="s">
        <v>33</v>
      </c>
      <c r="E20" s="80">
        <f>'Use of Funds'!E6+'Use of Funds'!E7</f>
        <v>525000</v>
      </c>
      <c r="F20" s="80">
        <v>0</v>
      </c>
      <c r="G20" s="80">
        <v>0</v>
      </c>
      <c r="H20" s="127"/>
      <c r="I20" s="127"/>
    </row>
    <row r="21" spans="4:9">
      <c r="D21" s="72" t="s">
        <v>32</v>
      </c>
      <c r="E21" s="78">
        <f>E6*0.7</f>
        <v>96451.588882095399</v>
      </c>
      <c r="F21" s="78">
        <f t="shared" ref="F21:G21" si="3">F6*0.7</f>
        <v>121065.47211425734</v>
      </c>
      <c r="G21" s="78">
        <f t="shared" si="3"/>
        <v>148390.98443758651</v>
      </c>
      <c r="H21" s="127"/>
      <c r="I21" s="127"/>
    </row>
    <row r="22" spans="4:9">
      <c r="D22" s="75" t="s">
        <v>26</v>
      </c>
      <c r="E22" s="84">
        <f>SUM(E18:E21)</f>
        <v>657325.8432170013</v>
      </c>
      <c r="F22" s="84">
        <f t="shared" ref="F22:G22" si="4">SUM(F18:F21)</f>
        <v>159864.00454867727</v>
      </c>
      <c r="G22" s="84">
        <f t="shared" si="4"/>
        <v>190361.38534627005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83721.140900277882</v>
      </c>
      <c r="F24" s="91">
        <f t="shared" ref="F24:G24" si="5">F15-F22</f>
        <v>16410.84990026179</v>
      </c>
      <c r="G24" s="91">
        <f t="shared" si="5"/>
        <v>25016.398878853564</v>
      </c>
      <c r="H24" s="132"/>
      <c r="I24" s="132"/>
    </row>
    <row r="25" spans="4:9">
      <c r="D25" s="82" t="s">
        <v>6</v>
      </c>
      <c r="E25" s="91">
        <f>E24</f>
        <v>83721.140900277882</v>
      </c>
      <c r="F25" s="91">
        <f>E25+F24</f>
        <v>100131.99080053967</v>
      </c>
      <c r="G25" s="91">
        <f>F25+G24</f>
        <v>125148.38967939324</v>
      </c>
      <c r="H25" s="132"/>
      <c r="I25" s="132"/>
    </row>
    <row r="28" spans="4:9">
      <c r="D28" s="112" t="s">
        <v>79</v>
      </c>
      <c r="E28" s="114">
        <f>E6</f>
        <v>137787.98411727915</v>
      </c>
      <c r="F28" s="114">
        <f t="shared" ref="F28:G28" si="6">F6</f>
        <v>172950.67444893907</v>
      </c>
      <c r="G28" s="114">
        <f t="shared" si="6"/>
        <v>211987.12062512361</v>
      </c>
      <c r="H28" s="1"/>
      <c r="I28" s="1"/>
    </row>
    <row r="29" spans="4:9">
      <c r="D29" s="112" t="s">
        <v>80</v>
      </c>
      <c r="E29" s="114">
        <f>E18</f>
        <v>33592.954334905924</v>
      </c>
      <c r="F29" s="114">
        <f t="shared" ref="F29:G29" si="7">F18</f>
        <v>36471.606434419933</v>
      </c>
      <c r="G29" s="114">
        <f t="shared" si="7"/>
        <v>39596.936388683527</v>
      </c>
      <c r="H29" s="1"/>
      <c r="I29" s="1"/>
    </row>
    <row r="30" spans="4:9">
      <c r="D30" s="112" t="s">
        <v>81</v>
      </c>
      <c r="E30" s="114">
        <f>E21</f>
        <v>96451.588882095399</v>
      </c>
      <c r="F30" s="114">
        <f t="shared" ref="F30:G30" si="8">F21</f>
        <v>121065.47211425734</v>
      </c>
      <c r="G30" s="114">
        <f t="shared" si="8"/>
        <v>148390.98443758651</v>
      </c>
      <c r="H30" s="1"/>
      <c r="I30" s="1"/>
    </row>
  </sheetData>
  <sheetProtection algorithmName="SHA-512" hashValue="3wreaToLeTk4pfTd/rH6W+Cod0iqQWx0VIkJ5fyCfjqUIi0w5mhsnnr8IBGt7kWJbc+jyWLxnl7mC5MbXUrwmw==" saltValue="5zUZlsKFPfX6VzjDvRtsYg==" spinCount="100000" sheet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V7" sqref="V7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83721.140900277882</v>
      </c>
      <c r="F7" s="78">
        <f>'Cash Flow Analysis'!F25</f>
        <v>100131.99080053967</v>
      </c>
      <c r="G7" s="78">
        <f>'Cash Flow Analysis'!G25</f>
        <v>125148.38967939324</v>
      </c>
      <c r="H7" s="127"/>
      <c r="I7" s="127"/>
    </row>
    <row r="8" spans="4:9">
      <c r="D8" s="66" t="s">
        <v>129</v>
      </c>
      <c r="E8" s="94">
        <f>'Cash Flow Analysis'!E20</f>
        <v>525000</v>
      </c>
      <c r="F8" s="94">
        <f>E8+'Cash Flow Analysis'!F20</f>
        <v>525000</v>
      </c>
      <c r="G8" s="94">
        <f>F8+'Cash Flow Analysis'!G20</f>
        <v>525000</v>
      </c>
      <c r="H8" s="127"/>
      <c r="I8" s="127"/>
    </row>
    <row r="9" spans="4:9">
      <c r="D9" s="72" t="s">
        <v>48</v>
      </c>
      <c r="E9" s="87">
        <f>-'Profit and Loss Statement'!E27</f>
        <v>-32500</v>
      </c>
      <c r="F9" s="87">
        <f>E9-'Profit and Loss Statement'!F27</f>
        <v>-65000</v>
      </c>
      <c r="G9" s="87">
        <f>F9-'Profit and Loss Statement'!G27</f>
        <v>-97500</v>
      </c>
      <c r="H9" s="130"/>
      <c r="I9" s="130"/>
    </row>
    <row r="10" spans="4:9">
      <c r="D10" s="95" t="s">
        <v>7</v>
      </c>
      <c r="E10" s="96">
        <f>SUM(E7:E9)</f>
        <v>576221.14090027788</v>
      </c>
      <c r="F10" s="96">
        <f t="shared" ref="F10:G10" si="0">SUM(F7:F9)</f>
        <v>560131.99080053973</v>
      </c>
      <c r="G10" s="96">
        <f t="shared" si="0"/>
        <v>552648.38967939327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977.70000000000027</v>
      </c>
      <c r="F13" s="78">
        <f>E13+('Cash Flow Analysis'!F11-'Cash Flow Analysis'!F19)</f>
        <v>1974.9540000000002</v>
      </c>
      <c r="G13" s="78">
        <f>F13+('Cash Flow Analysis'!G11-'Cash Flow Analysis'!G19)</f>
        <v>2992.1530800000005</v>
      </c>
      <c r="H13" s="127"/>
      <c r="I13" s="127"/>
    </row>
    <row r="14" spans="4:9">
      <c r="D14" s="66" t="s">
        <v>73</v>
      </c>
      <c r="E14" s="94">
        <f>'Loan Amortization Table'!E25</f>
        <v>466407.04566509405</v>
      </c>
      <c r="F14" s="94">
        <f>'Loan Amortization Table'!E37</f>
        <v>429935.439230674</v>
      </c>
      <c r="G14" s="94">
        <f>'Loan Amortization Table'!E49</f>
        <v>390338.50284199056</v>
      </c>
      <c r="H14" s="127"/>
      <c r="I14" s="127"/>
    </row>
    <row r="15" spans="4:9">
      <c r="D15" s="68" t="s">
        <v>30</v>
      </c>
      <c r="E15" s="81">
        <f>SUM(E13:E14)</f>
        <v>467384.74566509406</v>
      </c>
      <c r="F15" s="81">
        <f t="shared" ref="F15:G15" si="1">SUM(F13:F14)</f>
        <v>431910.39323067403</v>
      </c>
      <c r="G15" s="81">
        <f t="shared" si="1"/>
        <v>393330.65592199058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108836.39523518382</v>
      </c>
      <c r="F17" s="83">
        <f t="shared" ref="F17:G17" si="2">F10-F15</f>
        <v>128221.5975698657</v>
      </c>
      <c r="G17" s="83">
        <f t="shared" si="2"/>
        <v>159317.73375740269</v>
      </c>
      <c r="H17" s="131"/>
      <c r="I17" s="131"/>
    </row>
    <row r="18" spans="4:9">
      <c r="D18" s="82" t="s">
        <v>31</v>
      </c>
      <c r="E18" s="83">
        <f>E15+E17</f>
        <v>576221.14090027788</v>
      </c>
      <c r="F18" s="83">
        <f t="shared" ref="F18:G18" si="3">F15+F17</f>
        <v>560131.99080053973</v>
      </c>
      <c r="G18" s="83">
        <f t="shared" si="3"/>
        <v>552648.38967939327</v>
      </c>
      <c r="H18" s="131"/>
      <c r="I18" s="131"/>
    </row>
    <row r="21" spans="4:9">
      <c r="D21" s="112" t="s">
        <v>82</v>
      </c>
      <c r="E21" s="114">
        <f>E10-1</f>
        <v>576220.14090027788</v>
      </c>
      <c r="F21" s="114">
        <f t="shared" ref="F21:G21" si="4">F10-1</f>
        <v>560130.99080053973</v>
      </c>
      <c r="G21" s="114">
        <f t="shared" si="4"/>
        <v>552647.38967939327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467384.74566509406</v>
      </c>
      <c r="F22" s="114">
        <f t="shared" ref="F22:G22" si="6">F15</f>
        <v>431910.39323067403</v>
      </c>
      <c r="G22" s="114">
        <f t="shared" si="6"/>
        <v>393330.65592199058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108836.39523518382</v>
      </c>
      <c r="F23" s="114">
        <f t="shared" ref="F23:G23" si="8">F17</f>
        <v>128221.5975698657</v>
      </c>
      <c r="G23" s="114">
        <f t="shared" si="8"/>
        <v>159317.73375740269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T8" sqref="T8"/>
    </sheetView>
  </sheetViews>
  <sheetFormatPr defaultRowHeight="15"/>
  <cols>
    <col min="2" max="2" width="29.4257812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54250</v>
      </c>
      <c r="D6" s="6">
        <f>Inputs!D42</f>
        <v>54281</v>
      </c>
      <c r="E6" s="6">
        <f>Inputs!E42</f>
        <v>54312</v>
      </c>
      <c r="F6" s="6">
        <f>Inputs!F42</f>
        <v>54343</v>
      </c>
      <c r="G6" s="6">
        <f>Inputs!G42</f>
        <v>54374</v>
      </c>
      <c r="H6" s="6">
        <f>Inputs!H42</f>
        <v>54405</v>
      </c>
      <c r="I6" s="6">
        <f>Inputs!I42</f>
        <v>54436</v>
      </c>
    </row>
    <row r="7" spans="2:9">
      <c r="B7" s="31" t="s">
        <v>52</v>
      </c>
      <c r="C7" s="6">
        <f>Inputs!C61</f>
        <v>2712.5</v>
      </c>
      <c r="D7" s="6">
        <f>Inputs!D61</f>
        <v>2714.05</v>
      </c>
      <c r="E7" s="6">
        <f>Inputs!E61</f>
        <v>2715.6</v>
      </c>
      <c r="F7" s="6">
        <f>Inputs!F61</f>
        <v>2717.15</v>
      </c>
      <c r="G7" s="6">
        <f>Inputs!G61</f>
        <v>2718.7</v>
      </c>
      <c r="H7" s="6">
        <f>Inputs!H61</f>
        <v>2720.25</v>
      </c>
      <c r="I7" s="6">
        <f>Inputs!I61</f>
        <v>2721.8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51537.5</v>
      </c>
      <c r="D10" s="6">
        <f t="shared" ref="D10:I10" si="2">D6-D7</f>
        <v>51566.95</v>
      </c>
      <c r="E10" s="6">
        <f t="shared" si="2"/>
        <v>51596.4</v>
      </c>
      <c r="F10" s="6">
        <f t="shared" si="2"/>
        <v>51625.85</v>
      </c>
      <c r="G10" s="6">
        <f t="shared" si="2"/>
        <v>51655.3</v>
      </c>
      <c r="H10" s="6">
        <f t="shared" si="2"/>
        <v>51684.75</v>
      </c>
      <c r="I10" s="6">
        <f t="shared" si="2"/>
        <v>51714.2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25000</v>
      </c>
      <c r="D13" s="6">
        <f t="shared" ref="D13:I13" si="3">$H$41/12</f>
        <v>25000</v>
      </c>
      <c r="E13" s="6">
        <f t="shared" si="3"/>
        <v>25000</v>
      </c>
      <c r="F13" s="6">
        <f t="shared" si="3"/>
        <v>25000</v>
      </c>
      <c r="G13" s="6">
        <f t="shared" si="3"/>
        <v>25000</v>
      </c>
      <c r="H13" s="6">
        <f t="shared" si="3"/>
        <v>25000</v>
      </c>
      <c r="I13" s="6">
        <f t="shared" si="3"/>
        <v>25000</v>
      </c>
    </row>
    <row r="14" spans="2:9">
      <c r="B14" s="33" t="str">
        <f>'Profit and Loss Statement'!D14</f>
        <v>Facility Costs</v>
      </c>
      <c r="C14" s="6">
        <f>$H$42/12</f>
        <v>2168.1666666666665</v>
      </c>
      <c r="D14" s="6">
        <f t="shared" ref="D14:I14" si="4">$H$42/12</f>
        <v>2168.1666666666665</v>
      </c>
      <c r="E14" s="6">
        <f t="shared" si="4"/>
        <v>2168.1666666666665</v>
      </c>
      <c r="F14" s="6">
        <f t="shared" si="4"/>
        <v>2168.1666666666665</v>
      </c>
      <c r="G14" s="6">
        <f t="shared" si="4"/>
        <v>2168.1666666666665</v>
      </c>
      <c r="H14" s="6">
        <f t="shared" si="4"/>
        <v>2168.1666666666665</v>
      </c>
      <c r="I14" s="6">
        <f t="shared" si="4"/>
        <v>2168.1666666666665</v>
      </c>
    </row>
    <row r="15" spans="2:9">
      <c r="B15" s="33" t="str">
        <f>'Profit and Loss Statement'!D15</f>
        <v>General and Administrative</v>
      </c>
      <c r="C15" s="6">
        <f>$H$43/12</f>
        <v>854.40184999999985</v>
      </c>
      <c r="D15" s="6">
        <f t="shared" ref="D15:I15" si="5">$H$43/12</f>
        <v>854.40184999999985</v>
      </c>
      <c r="E15" s="6">
        <f t="shared" si="5"/>
        <v>854.40184999999985</v>
      </c>
      <c r="F15" s="6">
        <f t="shared" si="5"/>
        <v>854.40184999999985</v>
      </c>
      <c r="G15" s="6">
        <f t="shared" si="5"/>
        <v>854.40184999999985</v>
      </c>
      <c r="H15" s="6">
        <f t="shared" si="5"/>
        <v>854.40184999999985</v>
      </c>
      <c r="I15" s="6">
        <f t="shared" si="5"/>
        <v>854.40184999999985</v>
      </c>
    </row>
    <row r="16" spans="2:9">
      <c r="B16" s="33" t="str">
        <f>'Profit and Loss Statement'!D16</f>
        <v>Equipment Costs</v>
      </c>
      <c r="C16" s="6">
        <f>$H$44/12</f>
        <v>827.19159999999999</v>
      </c>
      <c r="D16" s="6">
        <f t="shared" ref="D16:I16" si="6">$H$44/12</f>
        <v>827.19159999999999</v>
      </c>
      <c r="E16" s="6">
        <f t="shared" si="6"/>
        <v>827.19159999999999</v>
      </c>
      <c r="F16" s="6">
        <f t="shared" si="6"/>
        <v>827.19159999999999</v>
      </c>
      <c r="G16" s="6">
        <f t="shared" si="6"/>
        <v>827.19159999999999</v>
      </c>
      <c r="H16" s="6">
        <f t="shared" si="6"/>
        <v>827.19159999999999</v>
      </c>
      <c r="I16" s="6">
        <f t="shared" si="6"/>
        <v>827.19159999999999</v>
      </c>
    </row>
    <row r="17" spans="2:9">
      <c r="B17" s="33" t="str">
        <f>'Profit and Loss Statement'!D17</f>
        <v>Insurance Costs</v>
      </c>
      <c r="C17" s="6">
        <f>$H$45/12</f>
        <v>1500</v>
      </c>
      <c r="D17" s="6">
        <f t="shared" ref="D17:I17" si="7">$H$45/12</f>
        <v>1500</v>
      </c>
      <c r="E17" s="6">
        <f t="shared" si="7"/>
        <v>1500</v>
      </c>
      <c r="F17" s="6">
        <f t="shared" si="7"/>
        <v>1500</v>
      </c>
      <c r="G17" s="6">
        <f t="shared" si="7"/>
        <v>1500</v>
      </c>
      <c r="H17" s="6">
        <f t="shared" si="7"/>
        <v>1500</v>
      </c>
      <c r="I17" s="6">
        <f t="shared" si="7"/>
        <v>1500</v>
      </c>
    </row>
    <row r="18" spans="2:9">
      <c r="B18" s="33" t="str">
        <f>'Profit and Loss Statement'!D18</f>
        <v>Marketing</v>
      </c>
      <c r="C18" s="6">
        <f>$H$46/12</f>
        <v>653.04600000000005</v>
      </c>
      <c r="D18" s="6">
        <f t="shared" ref="D18:I18" si="8">$H$46/12</f>
        <v>653.04600000000005</v>
      </c>
      <c r="E18" s="6">
        <f t="shared" si="8"/>
        <v>653.04600000000005</v>
      </c>
      <c r="F18" s="6">
        <f t="shared" si="8"/>
        <v>653.04600000000005</v>
      </c>
      <c r="G18" s="6">
        <f t="shared" si="8"/>
        <v>653.04600000000005</v>
      </c>
      <c r="H18" s="6">
        <f t="shared" si="8"/>
        <v>653.04600000000005</v>
      </c>
      <c r="I18" s="6">
        <f t="shared" si="8"/>
        <v>653.04600000000005</v>
      </c>
    </row>
    <row r="19" spans="2:9">
      <c r="B19" s="33" t="str">
        <f>'Profit and Loss Statement'!D19</f>
        <v>Professional Fees and Licensure</v>
      </c>
      <c r="C19" s="6">
        <f>$H$47/12</f>
        <v>208.33333333333334</v>
      </c>
      <c r="D19" s="6">
        <f t="shared" ref="D19:I19" si="9">$H$47/12</f>
        <v>208.33333333333334</v>
      </c>
      <c r="E19" s="6">
        <f t="shared" si="9"/>
        <v>208.33333333333334</v>
      </c>
      <c r="F19" s="6">
        <f t="shared" si="9"/>
        <v>208.33333333333334</v>
      </c>
      <c r="G19" s="6">
        <f t="shared" si="9"/>
        <v>208.33333333333334</v>
      </c>
      <c r="H19" s="6">
        <f t="shared" si="9"/>
        <v>208.33333333333334</v>
      </c>
      <c r="I19" s="6">
        <f t="shared" si="9"/>
        <v>208.33333333333334</v>
      </c>
    </row>
    <row r="20" spans="2:9">
      <c r="B20" s="29" t="s">
        <v>14</v>
      </c>
      <c r="C20" s="6">
        <f>$H$48/12</f>
        <v>1912.5</v>
      </c>
      <c r="D20" s="6">
        <f t="shared" ref="D20:I20" si="10">$H$48/12</f>
        <v>1912.5</v>
      </c>
      <c r="E20" s="6">
        <f t="shared" si="10"/>
        <v>1912.5</v>
      </c>
      <c r="F20" s="6">
        <f t="shared" si="10"/>
        <v>1912.5</v>
      </c>
      <c r="G20" s="6">
        <f t="shared" si="10"/>
        <v>1912.5</v>
      </c>
      <c r="H20" s="6">
        <f t="shared" si="10"/>
        <v>1912.5</v>
      </c>
      <c r="I20" s="6">
        <f t="shared" si="10"/>
        <v>1912.5</v>
      </c>
    </row>
    <row r="21" spans="2:9">
      <c r="B21" s="28" t="s">
        <v>8</v>
      </c>
      <c r="C21" s="6">
        <f>SUM(C13:C20)</f>
        <v>33123.639449999995</v>
      </c>
      <c r="D21" s="6">
        <f t="shared" ref="D21:I21" si="11">SUM(D13:D20)</f>
        <v>33123.639449999995</v>
      </c>
      <c r="E21" s="6">
        <f t="shared" si="11"/>
        <v>33123.639449999995</v>
      </c>
      <c r="F21" s="6">
        <f t="shared" si="11"/>
        <v>33123.639449999995</v>
      </c>
      <c r="G21" s="6">
        <f t="shared" si="11"/>
        <v>33123.639449999995</v>
      </c>
      <c r="H21" s="6">
        <f t="shared" si="11"/>
        <v>33123.639449999995</v>
      </c>
      <c r="I21" s="6">
        <f t="shared" si="11"/>
        <v>33123.639449999995</v>
      </c>
    </row>
    <row r="22" spans="2:9">
      <c r="B22" s="30"/>
    </row>
    <row r="23" spans="2:9">
      <c r="B23" s="24" t="s">
        <v>47</v>
      </c>
      <c r="C23" s="25">
        <f>C10-C21</f>
        <v>18413.860550000005</v>
      </c>
      <c r="D23" s="25">
        <f t="shared" ref="D23:I23" si="12">D10-D21</f>
        <v>18443.310550000002</v>
      </c>
      <c r="E23" s="25">
        <f t="shared" si="12"/>
        <v>18472.760550000006</v>
      </c>
      <c r="F23" s="25">
        <f t="shared" si="12"/>
        <v>18502.210550000003</v>
      </c>
      <c r="G23" s="25">
        <f t="shared" si="12"/>
        <v>18531.660550000008</v>
      </c>
      <c r="H23" s="25">
        <f t="shared" si="12"/>
        <v>18561.110550000005</v>
      </c>
      <c r="I23" s="25">
        <f t="shared" si="12"/>
        <v>18590.560550000002</v>
      </c>
    </row>
    <row r="24" spans="2:9">
      <c r="B24" s="29" t="s">
        <v>15</v>
      </c>
      <c r="C24" s="6">
        <f>(C6/$H$34)*$H$52</f>
        <v>3123.7534450441212</v>
      </c>
      <c r="D24" s="6">
        <f t="shared" ref="D24:I24" si="13">(D6/$H$34)*$H$52</f>
        <v>3125.5384470127178</v>
      </c>
      <c r="E24" s="6">
        <f t="shared" si="13"/>
        <v>3127.3234489813149</v>
      </c>
      <c r="F24" s="6">
        <f t="shared" si="13"/>
        <v>3129.1084509499115</v>
      </c>
      <c r="G24" s="6">
        <f t="shared" si="13"/>
        <v>3130.893452918508</v>
      </c>
      <c r="H24" s="6">
        <f t="shared" si="13"/>
        <v>3132.6784548871046</v>
      </c>
      <c r="I24" s="6">
        <f t="shared" si="13"/>
        <v>3134.4634568557012</v>
      </c>
    </row>
    <row r="25" spans="2:9">
      <c r="B25" s="29" t="s">
        <v>102</v>
      </c>
      <c r="C25" s="6">
        <f>(C6/$H$34)*$H$53</f>
        <v>624.75068900882434</v>
      </c>
      <c r="D25" s="6">
        <f t="shared" ref="D25:I25" si="14">(D6/$H$34)*$H$53</f>
        <v>625.10768940254366</v>
      </c>
      <c r="E25" s="6">
        <f t="shared" si="14"/>
        <v>625.46468979626309</v>
      </c>
      <c r="F25" s="6">
        <f t="shared" si="14"/>
        <v>625.82169018998241</v>
      </c>
      <c r="G25" s="6">
        <f t="shared" si="14"/>
        <v>626.17869058370161</v>
      </c>
      <c r="H25" s="6">
        <f t="shared" si="14"/>
        <v>626.53569097742093</v>
      </c>
      <c r="I25" s="6">
        <f t="shared" si="14"/>
        <v>626.89269137114024</v>
      </c>
    </row>
    <row r="26" spans="2:9">
      <c r="B26" s="29" t="s">
        <v>16</v>
      </c>
      <c r="C26" s="6">
        <f>'Loan Amortization Table'!D14</f>
        <v>3437.5</v>
      </c>
      <c r="D26" s="6">
        <f>'Loan Amortization Table'!D15</f>
        <v>3418.9709726258402</v>
      </c>
      <c r="E26" s="6">
        <f>'Loan Amortization Table'!D16</f>
        <v>3400.3145581884837</v>
      </c>
      <c r="F26" s="6">
        <f>'Loan Amortization Table'!D17</f>
        <v>3381.5298809018695</v>
      </c>
      <c r="G26" s="6">
        <f>'Loan Amortization Table'!D18</f>
        <v>3362.6160589589103</v>
      </c>
      <c r="H26" s="6">
        <f>'Loan Amortization Table'!D19</f>
        <v>3343.5722044900936</v>
      </c>
      <c r="I26" s="6">
        <f>'Loan Amortization Table'!D20</f>
        <v>3324.3974235218034</v>
      </c>
    </row>
    <row r="27" spans="2:9">
      <c r="B27" s="29" t="s">
        <v>54</v>
      </c>
      <c r="C27" s="6">
        <f>$H$55/12</f>
        <v>2708.3333333333335</v>
      </c>
      <c r="D27" s="6">
        <f t="shared" ref="D27:I27" si="15">$H$55/12</f>
        <v>2708.3333333333335</v>
      </c>
      <c r="E27" s="6">
        <f t="shared" si="15"/>
        <v>2708.3333333333335</v>
      </c>
      <c r="F27" s="6">
        <f t="shared" si="15"/>
        <v>2708.3333333333335</v>
      </c>
      <c r="G27" s="6">
        <f t="shared" si="15"/>
        <v>2708.3333333333335</v>
      </c>
      <c r="H27" s="6">
        <f t="shared" si="15"/>
        <v>2708.3333333333335</v>
      </c>
      <c r="I27" s="6">
        <f t="shared" si="15"/>
        <v>2708.3333333333335</v>
      </c>
    </row>
    <row r="28" spans="2:9">
      <c r="B28" s="38" t="s">
        <v>17</v>
      </c>
      <c r="C28" s="39">
        <f>C23-SUM(C24:C27)</f>
        <v>8519.5230826137249</v>
      </c>
      <c r="D28" s="39">
        <f t="shared" ref="D28:I28" si="16">D23-SUM(D24:D27)</f>
        <v>8565.3601076255673</v>
      </c>
      <c r="E28" s="39">
        <f t="shared" si="16"/>
        <v>8611.3245197006108</v>
      </c>
      <c r="F28" s="39">
        <f t="shared" si="16"/>
        <v>8657.4171946249062</v>
      </c>
      <c r="G28" s="39">
        <f t="shared" si="16"/>
        <v>8703.6390142055534</v>
      </c>
      <c r="H28" s="39">
        <f t="shared" si="16"/>
        <v>8749.9908663120514</v>
      </c>
      <c r="I28" s="39">
        <f t="shared" si="16"/>
        <v>8796.4736449180236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54467</v>
      </c>
      <c r="D34" s="6">
        <f>Inputs!K42</f>
        <v>54498</v>
      </c>
      <c r="E34" s="6">
        <f>Inputs!L42</f>
        <v>54529</v>
      </c>
      <c r="F34" s="6">
        <f>Inputs!M42</f>
        <v>54560</v>
      </c>
      <c r="G34" s="6">
        <f>Inputs!N42</f>
        <v>54591</v>
      </c>
      <c r="H34" s="6">
        <f>'Profit and Loss Statement'!E6</f>
        <v>653046</v>
      </c>
    </row>
    <row r="35" spans="2:8">
      <c r="B35" s="31" t="s">
        <v>52</v>
      </c>
      <c r="C35" s="6">
        <f>Inputs!J61</f>
        <v>2723.35</v>
      </c>
      <c r="D35" s="6">
        <f>Inputs!K61</f>
        <v>2724.9</v>
      </c>
      <c r="E35" s="6">
        <f>Inputs!L61</f>
        <v>2726.45</v>
      </c>
      <c r="F35" s="6">
        <f>Inputs!M61</f>
        <v>2728</v>
      </c>
      <c r="G35" s="6">
        <f>Inputs!N61</f>
        <v>2729.55</v>
      </c>
      <c r="H35" s="6">
        <f>'Profit and Loss Statement'!E7</f>
        <v>32652.300000000003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51743.65</v>
      </c>
      <c r="D38" s="6">
        <f t="shared" ref="D38:H38" si="19">D34-D35</f>
        <v>51773.1</v>
      </c>
      <c r="E38" s="6">
        <f t="shared" si="19"/>
        <v>51802.55</v>
      </c>
      <c r="F38" s="6">
        <f t="shared" si="19"/>
        <v>51832</v>
      </c>
      <c r="G38" s="6">
        <f t="shared" si="19"/>
        <v>51861.45</v>
      </c>
      <c r="H38" s="6">
        <f t="shared" si="19"/>
        <v>620393.69999999995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25000</v>
      </c>
      <c r="D41" s="6">
        <f t="shared" ref="D41:G41" si="20">$H$41/12</f>
        <v>25000</v>
      </c>
      <c r="E41" s="6">
        <f t="shared" si="20"/>
        <v>25000</v>
      </c>
      <c r="F41" s="6">
        <f t="shared" si="20"/>
        <v>25000</v>
      </c>
      <c r="G41" s="6">
        <f t="shared" si="20"/>
        <v>25000</v>
      </c>
      <c r="H41" s="6">
        <f>'Profit and Loss Statement'!E13</f>
        <v>300000</v>
      </c>
    </row>
    <row r="42" spans="2:8">
      <c r="B42" s="33" t="str">
        <f>B14</f>
        <v>Facility Costs</v>
      </c>
      <c r="C42" s="6">
        <f>$H$42/12</f>
        <v>2168.1666666666665</v>
      </c>
      <c r="D42" s="6">
        <f t="shared" ref="D42:G42" si="21">$H$42/12</f>
        <v>2168.1666666666665</v>
      </c>
      <c r="E42" s="6">
        <f t="shared" si="21"/>
        <v>2168.1666666666665</v>
      </c>
      <c r="F42" s="6">
        <f t="shared" si="21"/>
        <v>2168.1666666666665</v>
      </c>
      <c r="G42" s="6">
        <f t="shared" si="21"/>
        <v>2168.1666666666665</v>
      </c>
      <c r="H42" s="6">
        <f>'Profit and Loss Statement'!E14</f>
        <v>26018</v>
      </c>
    </row>
    <row r="43" spans="2:8">
      <c r="B43" s="33" t="str">
        <f t="shared" ref="B43:B47" si="22">B15</f>
        <v>General and Administrative</v>
      </c>
      <c r="C43" s="6">
        <f>$H$43/12</f>
        <v>854.40184999999985</v>
      </c>
      <c r="D43" s="6">
        <f t="shared" ref="D43:G43" si="23">$H$43/12</f>
        <v>854.40184999999985</v>
      </c>
      <c r="E43" s="6">
        <f t="shared" si="23"/>
        <v>854.40184999999985</v>
      </c>
      <c r="F43" s="6">
        <f t="shared" si="23"/>
        <v>854.40184999999985</v>
      </c>
      <c r="G43" s="6">
        <f t="shared" si="23"/>
        <v>854.40184999999985</v>
      </c>
      <c r="H43" s="6">
        <f>'Profit and Loss Statement'!E15</f>
        <v>10252.822199999999</v>
      </c>
    </row>
    <row r="44" spans="2:8">
      <c r="B44" s="33" t="str">
        <f t="shared" si="22"/>
        <v>Equipment Costs</v>
      </c>
      <c r="C44" s="6">
        <f>$H$44/12</f>
        <v>827.19159999999999</v>
      </c>
      <c r="D44" s="6">
        <f t="shared" ref="D44:G44" si="24">$H$44/12</f>
        <v>827.19159999999999</v>
      </c>
      <c r="E44" s="6">
        <f t="shared" si="24"/>
        <v>827.19159999999999</v>
      </c>
      <c r="F44" s="6">
        <f t="shared" si="24"/>
        <v>827.19159999999999</v>
      </c>
      <c r="G44" s="6">
        <f t="shared" si="24"/>
        <v>827.19159999999999</v>
      </c>
      <c r="H44" s="6">
        <f>'Profit and Loss Statement'!E16</f>
        <v>9926.2991999999995</v>
      </c>
    </row>
    <row r="45" spans="2:8">
      <c r="B45" s="33" t="str">
        <f t="shared" si="22"/>
        <v>Insurance Costs</v>
      </c>
      <c r="C45" s="6">
        <f>$H$45/12</f>
        <v>1500</v>
      </c>
      <c r="D45" s="6">
        <f t="shared" ref="D45:G45" si="25">$H$45/12</f>
        <v>1500</v>
      </c>
      <c r="E45" s="6">
        <f t="shared" si="25"/>
        <v>1500</v>
      </c>
      <c r="F45" s="6">
        <f t="shared" si="25"/>
        <v>1500</v>
      </c>
      <c r="G45" s="6">
        <f t="shared" si="25"/>
        <v>1500</v>
      </c>
      <c r="H45" s="6">
        <f>'Profit and Loss Statement'!E17</f>
        <v>18000</v>
      </c>
    </row>
    <row r="46" spans="2:8">
      <c r="B46" s="33" t="str">
        <f t="shared" si="22"/>
        <v>Marketing</v>
      </c>
      <c r="C46" s="6">
        <f>$H$46/12</f>
        <v>653.04600000000005</v>
      </c>
      <c r="D46" s="6">
        <f t="shared" ref="D46:G46" si="26">$H$46/12</f>
        <v>653.04600000000005</v>
      </c>
      <c r="E46" s="6">
        <f t="shared" si="26"/>
        <v>653.04600000000005</v>
      </c>
      <c r="F46" s="6">
        <f t="shared" si="26"/>
        <v>653.04600000000005</v>
      </c>
      <c r="G46" s="6">
        <f t="shared" si="26"/>
        <v>653.04600000000005</v>
      </c>
      <c r="H46" s="6">
        <f>'Profit and Loss Statement'!E18</f>
        <v>7836.5520000000006</v>
      </c>
    </row>
    <row r="47" spans="2:8">
      <c r="B47" s="33" t="str">
        <f t="shared" si="22"/>
        <v>Professional Fees and Licensure</v>
      </c>
      <c r="C47" s="6">
        <f>$H$47/12</f>
        <v>208.33333333333334</v>
      </c>
      <c r="D47" s="6">
        <f t="shared" ref="D47:G47" si="27">$H$47/12</f>
        <v>208.33333333333334</v>
      </c>
      <c r="E47" s="6">
        <f t="shared" si="27"/>
        <v>208.33333333333334</v>
      </c>
      <c r="F47" s="6">
        <f t="shared" si="27"/>
        <v>208.33333333333334</v>
      </c>
      <c r="G47" s="6">
        <f t="shared" si="27"/>
        <v>208.33333333333334</v>
      </c>
      <c r="H47" s="6">
        <f>'Profit and Loss Statement'!E19</f>
        <v>2500</v>
      </c>
    </row>
    <row r="48" spans="2:8">
      <c r="B48" s="29" t="s">
        <v>14</v>
      </c>
      <c r="C48" s="6">
        <f>$H$48/12</f>
        <v>1912.5</v>
      </c>
      <c r="D48" s="6">
        <f t="shared" ref="D48:G48" si="28">$H$48/12</f>
        <v>1912.5</v>
      </c>
      <c r="E48" s="6">
        <f t="shared" si="28"/>
        <v>1912.5</v>
      </c>
      <c r="F48" s="6">
        <f t="shared" si="28"/>
        <v>1912.5</v>
      </c>
      <c r="G48" s="6">
        <f t="shared" si="28"/>
        <v>1912.5</v>
      </c>
      <c r="H48" s="6">
        <f>'Profit and Loss Statement'!E20</f>
        <v>22950</v>
      </c>
    </row>
    <row r="49" spans="2:15">
      <c r="B49" s="28" t="s">
        <v>8</v>
      </c>
      <c r="C49" s="6">
        <f>SUM(C41:C48)</f>
        <v>33123.639449999995</v>
      </c>
      <c r="D49" s="6">
        <f t="shared" ref="D49:G49" si="29">SUM(D41:D48)</f>
        <v>33123.639449999995</v>
      </c>
      <c r="E49" s="6">
        <f t="shared" si="29"/>
        <v>33123.639449999995</v>
      </c>
      <c r="F49" s="6">
        <f t="shared" si="29"/>
        <v>33123.639449999995</v>
      </c>
      <c r="G49" s="6">
        <f t="shared" si="29"/>
        <v>33123.639449999995</v>
      </c>
      <c r="H49" s="6">
        <f>'Profit and Loss Statement'!E21</f>
        <v>397483.67340000003</v>
      </c>
    </row>
    <row r="50" spans="2:15">
      <c r="B50" s="30"/>
    </row>
    <row r="51" spans="2:15">
      <c r="B51" s="24" t="s">
        <v>47</v>
      </c>
      <c r="C51" s="25">
        <f>C38-C49</f>
        <v>18620.010550000006</v>
      </c>
      <c r="D51" s="25">
        <f t="shared" ref="D51:H51" si="30">D38-D49</f>
        <v>18649.460550000003</v>
      </c>
      <c r="E51" s="25">
        <f t="shared" si="30"/>
        <v>18678.910550000008</v>
      </c>
      <c r="F51" s="25">
        <f t="shared" si="30"/>
        <v>18708.360550000005</v>
      </c>
      <c r="G51" s="25">
        <f t="shared" si="30"/>
        <v>18737.810550000002</v>
      </c>
      <c r="H51" s="25">
        <f t="shared" si="30"/>
        <v>222910.02659999992</v>
      </c>
    </row>
    <row r="52" spans="2:15">
      <c r="B52" s="29" t="s">
        <v>15</v>
      </c>
      <c r="C52" s="6">
        <f>(C34/$H$34)*$H$52</f>
        <v>3136.2484588242983</v>
      </c>
      <c r="D52" s="6">
        <f t="shared" ref="D52:G52" si="31">(D34/$H$34)*$H$52</f>
        <v>3138.0334607928949</v>
      </c>
      <c r="E52" s="6">
        <f t="shared" si="31"/>
        <v>3139.8184627614914</v>
      </c>
      <c r="F52" s="6">
        <f t="shared" si="31"/>
        <v>3141.603464730088</v>
      </c>
      <c r="G52" s="6">
        <f t="shared" si="31"/>
        <v>3143.3884666986846</v>
      </c>
      <c r="H52" s="6">
        <f>'Profit and Loss Statement'!E24</f>
        <v>37602.851470456837</v>
      </c>
    </row>
    <row r="53" spans="2:15">
      <c r="B53" s="29" t="s">
        <v>102</v>
      </c>
      <c r="C53" s="6">
        <f>(C34/$H$34)*$H$53</f>
        <v>627.24969176485968</v>
      </c>
      <c r="D53" s="6">
        <f t="shared" ref="D53:G53" si="32">(D34/$H$34)*$H$53</f>
        <v>627.60669215857899</v>
      </c>
      <c r="E53" s="6">
        <f t="shared" si="32"/>
        <v>627.96369255229831</v>
      </c>
      <c r="F53" s="6">
        <f t="shared" si="32"/>
        <v>628.32069294601763</v>
      </c>
      <c r="G53" s="6">
        <f t="shared" si="32"/>
        <v>628.67769333973695</v>
      </c>
      <c r="H53" s="6">
        <f>'Profit and Loss Statement'!E25</f>
        <v>7520.5702940913679</v>
      </c>
    </row>
    <row r="54" spans="2:15">
      <c r="B54" s="29" t="s">
        <v>16</v>
      </c>
      <c r="C54" s="6">
        <f>'Loan Amortization Table'!D21</f>
        <v>3305.0908159343562</v>
      </c>
      <c r="D54" s="6">
        <f>'Loan Amortization Table'!D22</f>
        <v>3285.6514754197456</v>
      </c>
      <c r="E54" s="6">
        <f>'Loan Amortization Table'!D23</f>
        <v>3266.0784894390968</v>
      </c>
      <c r="F54" s="6">
        <f>'Loan Amortization Table'!D24</f>
        <v>3246.3709391798307</v>
      </c>
      <c r="G54" s="6">
        <f>'Loan Amortization Table'!D25</f>
        <v>3226.5278995125327</v>
      </c>
      <c r="H54" s="6">
        <f>'Profit and Loss Statement'!E26</f>
        <v>39998.620718172569</v>
      </c>
    </row>
    <row r="55" spans="2:15">
      <c r="B55" s="29" t="s">
        <v>54</v>
      </c>
      <c r="C55" s="6">
        <f>$H$55/12</f>
        <v>2708.3333333333335</v>
      </c>
      <c r="D55" s="6">
        <f t="shared" ref="D55:G55" si="33">$H$55/12</f>
        <v>2708.3333333333335</v>
      </c>
      <c r="E55" s="6">
        <f t="shared" si="33"/>
        <v>2708.3333333333335</v>
      </c>
      <c r="F55" s="6">
        <f t="shared" si="33"/>
        <v>2708.3333333333335</v>
      </c>
      <c r="G55" s="6">
        <f t="shared" si="33"/>
        <v>2708.3333333333335</v>
      </c>
      <c r="H55" s="6">
        <f>'Profit and Loss Statement'!E27</f>
        <v>32500</v>
      </c>
    </row>
    <row r="56" spans="2:15">
      <c r="B56" s="38" t="s">
        <v>17</v>
      </c>
      <c r="C56" s="39">
        <f>C51-SUM(C52:C55)</f>
        <v>8843.0882501431588</v>
      </c>
      <c r="D56" s="39">
        <f t="shared" ref="D56:G56" si="34">D51-SUM(D52:D55)</f>
        <v>8889.8355882954511</v>
      </c>
      <c r="E56" s="39">
        <f t="shared" si="34"/>
        <v>8936.7165719137884</v>
      </c>
      <c r="F56" s="39">
        <f t="shared" si="34"/>
        <v>8983.7321198107347</v>
      </c>
      <c r="G56" s="39">
        <f t="shared" si="34"/>
        <v>9030.8831571157134</v>
      </c>
      <c r="H56" s="39">
        <f>'Profit and Loss Statement'!E28</f>
        <v>105287.98411727915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179587.65000000002</v>
      </c>
      <c r="D62" s="6">
        <f t="shared" ref="D62:F62" si="38">$G$62*M62</f>
        <v>179587.65000000002</v>
      </c>
      <c r="E62" s="6">
        <f t="shared" si="38"/>
        <v>179587.65000000002</v>
      </c>
      <c r="F62" s="6">
        <f t="shared" si="38"/>
        <v>179587.65000000002</v>
      </c>
      <c r="G62" s="6">
        <f>'Profit and Loss Statement'!F6</f>
        <v>718350.60000000009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8979.3825000000015</v>
      </c>
      <c r="D63" s="6">
        <f t="shared" ref="D63:F63" si="39">$G$63*M62</f>
        <v>8979.3825000000015</v>
      </c>
      <c r="E63" s="6">
        <f t="shared" si="39"/>
        <v>8979.3825000000015</v>
      </c>
      <c r="F63" s="6">
        <f t="shared" si="39"/>
        <v>8979.3825000000015</v>
      </c>
      <c r="G63" s="6">
        <f>'Profit and Loss Statement'!F7</f>
        <v>35917.530000000006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170608.26750000002</v>
      </c>
      <c r="D66" s="6">
        <f t="shared" ref="D66:G66" si="43">D62-D63</f>
        <v>170608.26750000002</v>
      </c>
      <c r="E66" s="6">
        <f t="shared" si="43"/>
        <v>170608.26750000002</v>
      </c>
      <c r="F66" s="6">
        <f t="shared" si="43"/>
        <v>170608.26750000002</v>
      </c>
      <c r="G66" s="6">
        <f t="shared" si="43"/>
        <v>682433.07000000007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77250</v>
      </c>
      <c r="D69" s="6">
        <f t="shared" ref="D69:F69" si="44">$G$69/4</f>
        <v>77250</v>
      </c>
      <c r="E69" s="6">
        <f t="shared" si="44"/>
        <v>77250</v>
      </c>
      <c r="F69" s="6">
        <f t="shared" si="44"/>
        <v>77250</v>
      </c>
      <c r="G69" s="6">
        <f>'Profit and Loss Statement'!F13</f>
        <v>309000</v>
      </c>
    </row>
    <row r="70" spans="2:7">
      <c r="B70" s="33" t="str">
        <f>B42</f>
        <v>Facility Costs</v>
      </c>
      <c r="C70" s="6">
        <f>$G$70/4</f>
        <v>6699.6350000000002</v>
      </c>
      <c r="D70" s="6">
        <f t="shared" ref="D70:F70" si="45">$G$70/4</f>
        <v>6699.6350000000002</v>
      </c>
      <c r="E70" s="6">
        <f t="shared" si="45"/>
        <v>6699.6350000000002</v>
      </c>
      <c r="F70" s="6">
        <f t="shared" si="45"/>
        <v>6699.6350000000002</v>
      </c>
      <c r="G70" s="6">
        <f>'Profit and Loss Statement'!F14</f>
        <v>26798.54</v>
      </c>
    </row>
    <row r="71" spans="2:7">
      <c r="B71" s="33" t="str">
        <f t="shared" ref="B71:B75" si="46">B43</f>
        <v>General and Administrative</v>
      </c>
      <c r="C71" s="6">
        <f>$G$71/4</f>
        <v>2819.5261049999999</v>
      </c>
      <c r="D71" s="6">
        <f t="shared" ref="D71:F71" si="47">$G$71/4</f>
        <v>2819.5261049999999</v>
      </c>
      <c r="E71" s="6">
        <f t="shared" si="47"/>
        <v>2819.5261049999999</v>
      </c>
      <c r="F71" s="6">
        <f t="shared" si="47"/>
        <v>2819.5261049999999</v>
      </c>
      <c r="G71" s="6">
        <f>'Profit and Loss Statement'!F15</f>
        <v>11278.10442</v>
      </c>
    </row>
    <row r="72" spans="2:7">
      <c r="B72" s="33" t="str">
        <f t="shared" si="46"/>
        <v>Equipment Costs</v>
      </c>
      <c r="C72" s="6">
        <f>$G$72/4</f>
        <v>2729.7322800000002</v>
      </c>
      <c r="D72" s="6">
        <f t="shared" ref="D72:F72" si="48">$G$72/4</f>
        <v>2729.7322800000002</v>
      </c>
      <c r="E72" s="6">
        <f t="shared" si="48"/>
        <v>2729.7322800000002</v>
      </c>
      <c r="F72" s="6">
        <f t="shared" si="48"/>
        <v>2729.7322800000002</v>
      </c>
      <c r="G72" s="6">
        <f>'Profit and Loss Statement'!F16</f>
        <v>10918.929120000001</v>
      </c>
    </row>
    <row r="73" spans="2:7">
      <c r="B73" s="33" t="str">
        <f t="shared" si="46"/>
        <v>Insurance Costs</v>
      </c>
      <c r="C73" s="6">
        <f>$G$73/4</f>
        <v>4635</v>
      </c>
      <c r="D73" s="6">
        <f t="shared" ref="D73:F73" si="49">$G$73/4</f>
        <v>4635</v>
      </c>
      <c r="E73" s="6">
        <f t="shared" si="49"/>
        <v>4635</v>
      </c>
      <c r="F73" s="6">
        <f t="shared" si="49"/>
        <v>4635</v>
      </c>
      <c r="G73" s="6">
        <f>'Profit and Loss Statement'!F17</f>
        <v>18540</v>
      </c>
    </row>
    <row r="74" spans="2:7">
      <c r="B74" s="33" t="str">
        <f t="shared" si="46"/>
        <v>Marketing</v>
      </c>
      <c r="C74" s="6">
        <f>$G$74/4</f>
        <v>2155.0518000000002</v>
      </c>
      <c r="D74" s="6">
        <f t="shared" ref="D74:F74" si="50">$G$74/4</f>
        <v>2155.0518000000002</v>
      </c>
      <c r="E74" s="6">
        <f t="shared" si="50"/>
        <v>2155.0518000000002</v>
      </c>
      <c r="F74" s="6">
        <f t="shared" si="50"/>
        <v>2155.0518000000002</v>
      </c>
      <c r="G74" s="6">
        <f>'Profit and Loss Statement'!F18</f>
        <v>8620.2072000000007</v>
      </c>
    </row>
    <row r="75" spans="2:7">
      <c r="B75" s="33" t="str">
        <f t="shared" si="46"/>
        <v>Professional Fees and Licensure</v>
      </c>
      <c r="C75" s="6">
        <f>$G$75/4</f>
        <v>843.75</v>
      </c>
      <c r="D75" s="6">
        <f t="shared" ref="D75:F75" si="51">$G$75/4</f>
        <v>843.75</v>
      </c>
      <c r="E75" s="6">
        <f t="shared" si="51"/>
        <v>843.75</v>
      </c>
      <c r="F75" s="6">
        <f t="shared" si="51"/>
        <v>843.75</v>
      </c>
      <c r="G75" s="6">
        <f>'Profit and Loss Statement'!F19</f>
        <v>3375</v>
      </c>
    </row>
    <row r="76" spans="2:7">
      <c r="B76" s="29" t="s">
        <v>14</v>
      </c>
      <c r="C76" s="6">
        <f>$G$76/4</f>
        <v>5909.625</v>
      </c>
      <c r="D76" s="6">
        <f t="shared" ref="D76:F76" si="52">$G$76/4</f>
        <v>5909.625</v>
      </c>
      <c r="E76" s="6">
        <f t="shared" si="52"/>
        <v>5909.625</v>
      </c>
      <c r="F76" s="6">
        <f t="shared" si="52"/>
        <v>5909.625</v>
      </c>
      <c r="G76" s="6">
        <f>'Profit and Loss Statement'!F20</f>
        <v>23638.5</v>
      </c>
    </row>
    <row r="77" spans="2:7">
      <c r="B77" s="28" t="s">
        <v>8</v>
      </c>
      <c r="C77" s="6">
        <f>SUM(C69:C76)</f>
        <v>103042.32018499999</v>
      </c>
      <c r="D77" s="6">
        <f t="shared" ref="D77:F77" si="53">SUM(D69:D76)</f>
        <v>103042.32018499999</v>
      </c>
      <c r="E77" s="6">
        <f t="shared" si="53"/>
        <v>103042.32018499999</v>
      </c>
      <c r="F77" s="6">
        <f t="shared" si="53"/>
        <v>103042.32018499999</v>
      </c>
      <c r="G77" s="6">
        <f>SUM(G69:G76)</f>
        <v>412169.28073999996</v>
      </c>
    </row>
    <row r="78" spans="2:7">
      <c r="B78" s="30"/>
    </row>
    <row r="79" spans="2:7">
      <c r="B79" s="24" t="s">
        <v>47</v>
      </c>
      <c r="C79" s="25">
        <f>C66-C77</f>
        <v>67565.947315000027</v>
      </c>
      <c r="D79" s="25">
        <f t="shared" ref="D79:F79" si="54">D66-D77</f>
        <v>67565.947315000027</v>
      </c>
      <c r="E79" s="25">
        <f t="shared" si="54"/>
        <v>67565.947315000027</v>
      </c>
      <c r="F79" s="25">
        <f t="shared" si="54"/>
        <v>67565.947315000027</v>
      </c>
      <c r="G79" s="25">
        <f t="shared" ref="G79" si="55">G66-G77</f>
        <v>270263.78926000011</v>
      </c>
    </row>
    <row r="80" spans="2:7">
      <c r="B80" s="29" t="s">
        <v>15</v>
      </c>
      <c r="C80" s="6">
        <f>$G$80*L62</f>
        <v>12540.238790083848</v>
      </c>
      <c r="D80" s="6">
        <f t="shared" ref="D80:F80" si="56">$G$80*M62</f>
        <v>12540.238790083848</v>
      </c>
      <c r="E80" s="6">
        <f t="shared" si="56"/>
        <v>12540.238790083848</v>
      </c>
      <c r="F80" s="6">
        <f t="shared" si="56"/>
        <v>12540.238790083848</v>
      </c>
      <c r="G80" s="6">
        <f>'Profit and Loss Statement'!F24</f>
        <v>50160.95516033539</v>
      </c>
    </row>
    <row r="81" spans="2:15">
      <c r="B81" s="29" t="s">
        <v>102</v>
      </c>
      <c r="C81" s="6">
        <f>$G$81*L62</f>
        <v>2508.0477580167699</v>
      </c>
      <c r="D81" s="6">
        <f t="shared" ref="D81:F81" si="57">$G$81*M62</f>
        <v>2508.0477580167699</v>
      </c>
      <c r="E81" s="6">
        <f t="shared" si="57"/>
        <v>2508.0477580167699</v>
      </c>
      <c r="F81" s="6">
        <f t="shared" si="57"/>
        <v>2508.0477580167699</v>
      </c>
      <c r="G81" s="6">
        <f>'Profit and Loss Statement'!F25</f>
        <v>10032.19103206708</v>
      </c>
    </row>
    <row r="82" spans="2:15">
      <c r="B82" s="29" t="s">
        <v>16</v>
      </c>
      <c r="C82" s="6">
        <f>SUM('Loan Amortization Table'!D26:D28)</f>
        <v>9559.1565556403038</v>
      </c>
      <c r="D82" s="6">
        <f>SUM('Loan Amortization Table'!D29:D31)</f>
        <v>9375.6014232599464</v>
      </c>
      <c r="E82" s="6">
        <f>SUM('Loan Amortization Table'!D32:D34)</f>
        <v>9188.2343790836276</v>
      </c>
      <c r="F82" s="6">
        <f>SUM('Loan Amortization Table'!D35:D37)</f>
        <v>8996.9762606746881</v>
      </c>
      <c r="G82" s="6">
        <f>'Profit and Loss Statement'!F26</f>
        <v>37119.96861865856</v>
      </c>
    </row>
    <row r="83" spans="2:15">
      <c r="B83" s="29" t="s">
        <v>54</v>
      </c>
      <c r="C83" s="6">
        <f>$G$83/4</f>
        <v>8125</v>
      </c>
      <c r="D83" s="6">
        <f t="shared" ref="D83:F83" si="58">$G$83/4</f>
        <v>8125</v>
      </c>
      <c r="E83" s="6">
        <f t="shared" si="58"/>
        <v>8125</v>
      </c>
      <c r="F83" s="6">
        <f t="shared" si="58"/>
        <v>8125</v>
      </c>
      <c r="G83" s="6">
        <f>'Profit and Loss Statement'!F27</f>
        <v>32500</v>
      </c>
    </row>
    <row r="84" spans="2:15">
      <c r="B84" s="38" t="s">
        <v>17</v>
      </c>
      <c r="C84" s="39">
        <f>C79-SUM(C80:C83)</f>
        <v>34833.504211259104</v>
      </c>
      <c r="D84" s="39">
        <f t="shared" ref="D84:F84" si="59">D79-SUM(D80:D83)</f>
        <v>35017.059343639463</v>
      </c>
      <c r="E84" s="39">
        <f t="shared" si="59"/>
        <v>35204.42638781578</v>
      </c>
      <c r="F84" s="39">
        <f t="shared" si="59"/>
        <v>35395.684506224723</v>
      </c>
      <c r="G84" s="39">
        <f>'Profit and Loss Statement'!F28</f>
        <v>140450.67444893907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197546.41500000004</v>
      </c>
      <c r="D92" s="6">
        <f t="shared" ref="D92:F92" si="64">$G$92*M92</f>
        <v>197546.41500000004</v>
      </c>
      <c r="E92" s="6">
        <f t="shared" si="64"/>
        <v>197546.41500000004</v>
      </c>
      <c r="F92" s="6">
        <f t="shared" si="64"/>
        <v>197546.41500000004</v>
      </c>
      <c r="G92" s="6">
        <f>'Profit and Loss Statement'!G6</f>
        <v>790185.66000000015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9877.3207500000026</v>
      </c>
      <c r="D93" s="6">
        <f t="shared" ref="D93:F93" si="65">$G$93*M92</f>
        <v>9877.3207500000026</v>
      </c>
      <c r="E93" s="6">
        <f t="shared" si="65"/>
        <v>9877.3207500000026</v>
      </c>
      <c r="F93" s="6">
        <f t="shared" si="65"/>
        <v>9877.3207500000026</v>
      </c>
      <c r="G93" s="6">
        <f>'Profit and Loss Statement'!G7</f>
        <v>39509.28300000001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187669.09425000002</v>
      </c>
      <c r="D96" s="6">
        <f t="shared" ref="D96:G96" si="67">D92-D93</f>
        <v>187669.09425000002</v>
      </c>
      <c r="E96" s="6">
        <f t="shared" si="67"/>
        <v>187669.09425000002</v>
      </c>
      <c r="F96" s="6">
        <f t="shared" si="67"/>
        <v>187669.09425000002</v>
      </c>
      <c r="G96" s="6">
        <f t="shared" si="67"/>
        <v>750676.37700000009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79567.5</v>
      </c>
      <c r="D99" s="6">
        <f>$G$99/4</f>
        <v>79567.5</v>
      </c>
      <c r="E99" s="6">
        <f>$G$99/4</f>
        <v>79567.5</v>
      </c>
      <c r="F99" s="6">
        <f>$G$99/4</f>
        <v>79567.5</v>
      </c>
      <c r="G99" s="6">
        <f>'Profit and Loss Statement'!G13</f>
        <v>318270</v>
      </c>
    </row>
    <row r="100" spans="2:7">
      <c r="B100" s="33" t="str">
        <f>B70</f>
        <v>Facility Costs</v>
      </c>
      <c r="C100" s="6">
        <f>$G$100/4</f>
        <v>6900.6240500000004</v>
      </c>
      <c r="D100" s="6">
        <f t="shared" ref="D100:F100" si="68">$G$100/4</f>
        <v>6900.6240500000004</v>
      </c>
      <c r="E100" s="6">
        <f t="shared" si="68"/>
        <v>6900.6240500000004</v>
      </c>
      <c r="F100" s="6">
        <f t="shared" si="68"/>
        <v>6900.6240500000004</v>
      </c>
      <c r="G100" s="6">
        <f>'Profit and Loss Statement'!G14</f>
        <v>27602.496200000001</v>
      </c>
    </row>
    <row r="101" spans="2:7">
      <c r="B101" s="33" t="str">
        <f t="shared" ref="B101:B105" si="69">B71</f>
        <v>General and Administrative</v>
      </c>
      <c r="C101" s="6">
        <f>$G101/4</f>
        <v>3101.4787155000004</v>
      </c>
      <c r="D101" s="6">
        <f t="shared" ref="D101:F101" si="70">$G101/4</f>
        <v>3101.4787155000004</v>
      </c>
      <c r="E101" s="6">
        <f t="shared" si="70"/>
        <v>3101.4787155000004</v>
      </c>
      <c r="F101" s="6">
        <f t="shared" si="70"/>
        <v>3101.4787155000004</v>
      </c>
      <c r="G101" s="6">
        <f>'Profit and Loss Statement'!G15</f>
        <v>12405.914862000001</v>
      </c>
    </row>
    <row r="102" spans="2:7">
      <c r="B102" s="33" t="str">
        <f t="shared" si="69"/>
        <v>Equipment Costs</v>
      </c>
      <c r="C102" s="6">
        <f>$G$102/4</f>
        <v>3002.7055080000005</v>
      </c>
      <c r="D102" s="6">
        <f t="shared" ref="D102:F102" si="71">$G$102/4</f>
        <v>3002.7055080000005</v>
      </c>
      <c r="E102" s="6">
        <f t="shared" si="71"/>
        <v>3002.7055080000005</v>
      </c>
      <c r="F102" s="6">
        <f t="shared" si="71"/>
        <v>3002.7055080000005</v>
      </c>
      <c r="G102" s="6">
        <f>'Profit and Loss Statement'!G16</f>
        <v>12010.822032000002</v>
      </c>
    </row>
    <row r="103" spans="2:7">
      <c r="B103" s="33" t="str">
        <f t="shared" si="69"/>
        <v>Insurance Costs</v>
      </c>
      <c r="C103" s="6">
        <f>$G$103/4</f>
        <v>4774.05</v>
      </c>
      <c r="D103" s="6">
        <f t="shared" ref="D103:F103" si="72">$G$103/4</f>
        <v>4774.05</v>
      </c>
      <c r="E103" s="6">
        <f t="shared" si="72"/>
        <v>4774.05</v>
      </c>
      <c r="F103" s="6">
        <f t="shared" si="72"/>
        <v>4774.05</v>
      </c>
      <c r="G103" s="6">
        <f>'Profit and Loss Statement'!G17</f>
        <v>19096.2</v>
      </c>
    </row>
    <row r="104" spans="2:7">
      <c r="B104" s="33" t="str">
        <f t="shared" si="69"/>
        <v>Marketing</v>
      </c>
      <c r="C104" s="6">
        <f>$G$104/4</f>
        <v>2370.5569800000003</v>
      </c>
      <c r="D104" s="6">
        <f t="shared" ref="D104:F104" si="73">$G$104/4</f>
        <v>2370.5569800000003</v>
      </c>
      <c r="E104" s="6">
        <f t="shared" si="73"/>
        <v>2370.5569800000003</v>
      </c>
      <c r="F104" s="6">
        <f t="shared" si="73"/>
        <v>2370.5569800000003</v>
      </c>
      <c r="G104" s="6">
        <f>'Profit and Loss Statement'!G18</f>
        <v>9482.2279200000012</v>
      </c>
    </row>
    <row r="105" spans="2:7">
      <c r="B105" s="33" t="str">
        <f t="shared" si="69"/>
        <v>Professional Fees and Licensure</v>
      </c>
      <c r="C105" s="6">
        <f>$G$105/4</f>
        <v>1139.0625</v>
      </c>
      <c r="D105" s="6">
        <f t="shared" ref="D105:F105" si="74">$G$105/4</f>
        <v>1139.0625</v>
      </c>
      <c r="E105" s="6">
        <f t="shared" si="74"/>
        <v>1139.0625</v>
      </c>
      <c r="F105" s="6">
        <f t="shared" si="74"/>
        <v>1139.0625</v>
      </c>
      <c r="G105" s="6">
        <f>'Profit and Loss Statement'!G19</f>
        <v>4556.25</v>
      </c>
    </row>
    <row r="106" spans="2:7">
      <c r="B106" s="29" t="s">
        <v>14</v>
      </c>
      <c r="C106" s="6">
        <f>$G$106/4</f>
        <v>6086.9137499999997</v>
      </c>
      <c r="D106" s="6">
        <f t="shared" ref="D106:F106" si="75">$G$106/4</f>
        <v>6086.9137499999997</v>
      </c>
      <c r="E106" s="6">
        <f t="shared" si="75"/>
        <v>6086.9137499999997</v>
      </c>
      <c r="F106" s="6">
        <f t="shared" si="75"/>
        <v>6086.9137499999997</v>
      </c>
      <c r="G106" s="6">
        <f>'Profit and Loss Statement'!G20</f>
        <v>24347.654999999999</v>
      </c>
    </row>
    <row r="107" spans="2:7">
      <c r="B107" s="28" t="s">
        <v>8</v>
      </c>
      <c r="C107" s="6">
        <f>SUM(C99:C106)</f>
        <v>106942.8915035</v>
      </c>
      <c r="D107" s="6">
        <f t="shared" ref="D107:F107" si="76">SUM(D99:D106)</f>
        <v>106942.8915035</v>
      </c>
      <c r="E107" s="6">
        <f t="shared" si="76"/>
        <v>106942.8915035</v>
      </c>
      <c r="F107" s="6">
        <f t="shared" si="76"/>
        <v>106942.8915035</v>
      </c>
      <c r="G107" s="6">
        <f>SUM(G99:G106)</f>
        <v>427771.56601399998</v>
      </c>
    </row>
    <row r="108" spans="2:7">
      <c r="B108" s="30"/>
    </row>
    <row r="109" spans="2:7">
      <c r="B109" s="24" t="s">
        <v>47</v>
      </c>
      <c r="C109" s="25">
        <f>C96-C107</f>
        <v>80726.202746500028</v>
      </c>
      <c r="D109" s="25">
        <f t="shared" ref="D109:G109" si="77">D96-D107</f>
        <v>80726.202746500028</v>
      </c>
      <c r="E109" s="25">
        <f t="shared" si="77"/>
        <v>80726.202746500028</v>
      </c>
      <c r="F109" s="25">
        <f t="shared" si="77"/>
        <v>80726.202746500028</v>
      </c>
      <c r="G109" s="25">
        <f t="shared" si="77"/>
        <v>322904.81098600011</v>
      </c>
    </row>
    <row r="110" spans="2:7">
      <c r="B110" s="29" t="s">
        <v>15</v>
      </c>
      <c r="C110" s="6">
        <f>$G$110*L92</f>
        <v>16025.635770100322</v>
      </c>
      <c r="D110" s="6">
        <f t="shared" ref="D110:F110" si="78">$G$110*M92</f>
        <v>16025.635770100322</v>
      </c>
      <c r="E110" s="6">
        <f t="shared" si="78"/>
        <v>16025.635770100322</v>
      </c>
      <c r="F110" s="6">
        <f t="shared" si="78"/>
        <v>16025.635770100322</v>
      </c>
      <c r="G110" s="6">
        <f>'Profit and Loss Statement'!G24</f>
        <v>64102.543080401287</v>
      </c>
    </row>
    <row r="111" spans="2:7">
      <c r="B111" s="29" t="s">
        <v>102</v>
      </c>
      <c r="C111" s="6">
        <f>$G$111*L92</f>
        <v>3205.1271540200646</v>
      </c>
      <c r="D111" s="6">
        <f t="shared" ref="D111:F111" si="79">$G$111*M92</f>
        <v>3205.1271540200646</v>
      </c>
      <c r="E111" s="6">
        <f t="shared" si="79"/>
        <v>3205.1271540200646</v>
      </c>
      <c r="F111" s="6">
        <f t="shared" si="79"/>
        <v>3205.1271540200646</v>
      </c>
      <c r="G111" s="6">
        <f>'Profit and Loss Statement'!G25</f>
        <v>12820.508616080258</v>
      </c>
    </row>
    <row r="112" spans="2:7">
      <c r="B112" s="29" t="s">
        <v>16</v>
      </c>
      <c r="C112" s="6">
        <f>SUM('Loan Amortization Table'!D38:D40)</f>
        <v>8801.7462616205084</v>
      </c>
      <c r="D112" s="6">
        <f>SUM('Loan Amortization Table'!D41:D43)</f>
        <v>8602.4618973918477</v>
      </c>
      <c r="E112" s="6">
        <f>SUM('Loan Amortization Table'!D44:D46)</f>
        <v>8399.0389704931986</v>
      </c>
      <c r="F112" s="6">
        <f>SUM('Loan Amortization Table'!D47:D49)</f>
        <v>8191.3915348894079</v>
      </c>
      <c r="G112" s="6">
        <f>'Profit and Loss Statement'!G26</f>
        <v>33994.638664394966</v>
      </c>
    </row>
    <row r="113" spans="2:15">
      <c r="B113" s="29" t="s">
        <v>54</v>
      </c>
      <c r="C113" s="6">
        <f>$G$113/4</f>
        <v>8125</v>
      </c>
      <c r="D113" s="6">
        <f>$G$113/4</f>
        <v>8125</v>
      </c>
      <c r="E113" s="6">
        <f>$G$113/4</f>
        <v>8125</v>
      </c>
      <c r="F113" s="6">
        <f>$G$113/4</f>
        <v>8125</v>
      </c>
      <c r="G113" s="6">
        <f>'Profit and Loss Statement'!G27</f>
        <v>32500</v>
      </c>
    </row>
    <row r="114" spans="2:15">
      <c r="B114" s="38" t="s">
        <v>17</v>
      </c>
      <c r="C114" s="39">
        <f>C109-SUM(C110:C113)</f>
        <v>44568.693560759129</v>
      </c>
      <c r="D114" s="39">
        <f t="shared" ref="D114:F114" si="80">D109-SUM(D110:D113)</f>
        <v>44767.97792498779</v>
      </c>
      <c r="E114" s="39">
        <f t="shared" si="80"/>
        <v>44971.400851886443</v>
      </c>
      <c r="F114" s="39">
        <f t="shared" si="80"/>
        <v>45179.048287490237</v>
      </c>
      <c r="G114" s="39">
        <f>'Profit and Loss Statement'!G28</f>
        <v>179487.12062512361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U7" sqref="U7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11227.856415947059</v>
      </c>
      <c r="E6" s="13">
        <f>'Expanded Profit and Loss'!D28+'Expanded Profit and Loss'!D27</f>
        <v>11273.693440958901</v>
      </c>
      <c r="F6" s="13">
        <f>'Expanded Profit and Loss'!E28+'Expanded Profit and Loss'!E27</f>
        <v>11319.657853033945</v>
      </c>
      <c r="G6" s="13">
        <f>'Expanded Profit and Loss'!F28+'Expanded Profit and Loss'!F27</f>
        <v>11365.75052795824</v>
      </c>
      <c r="H6" s="13">
        <f>'Expanded Profit and Loss'!G28+'Expanded Profit and Loss'!G27</f>
        <v>11411.972347538887</v>
      </c>
      <c r="I6" s="13">
        <f>'Expanded Profit and Loss'!H28+'Expanded Profit and Loss'!H27</f>
        <v>11458.324199645385</v>
      </c>
      <c r="J6" s="13">
        <f>'Expanded Profit and Loss'!I28+'Expanded Profit and Loss'!I27</f>
        <v>11504.806978251358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500000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271.58333333333331</v>
      </c>
      <c r="E11" s="13">
        <f t="shared" ref="E11:J11" si="1">$I$36/12</f>
        <v>271.58333333333331</v>
      </c>
      <c r="F11" s="13">
        <f t="shared" si="1"/>
        <v>271.58333333333331</v>
      </c>
      <c r="G11" s="13">
        <f t="shared" si="1"/>
        <v>271.58333333333331</v>
      </c>
      <c r="H11" s="13">
        <f t="shared" si="1"/>
        <v>271.58333333333331</v>
      </c>
      <c r="I11" s="13">
        <f t="shared" si="1"/>
        <v>271.58333333333331</v>
      </c>
      <c r="J11" s="13">
        <f t="shared" si="1"/>
        <v>271.58333333333331</v>
      </c>
    </row>
    <row r="12" spans="3:10">
      <c r="C12" s="37" t="s">
        <v>23</v>
      </c>
      <c r="D12" s="26">
        <f>SUM(D9:D11)</f>
        <v>600271.58333333337</v>
      </c>
      <c r="E12" s="26">
        <f t="shared" ref="E12:J12" si="2">SUM(E9:E11)</f>
        <v>271.58333333333331</v>
      </c>
      <c r="F12" s="26">
        <f t="shared" si="2"/>
        <v>271.58333333333331</v>
      </c>
      <c r="G12" s="26">
        <f t="shared" si="2"/>
        <v>271.58333333333331</v>
      </c>
      <c r="H12" s="26">
        <f t="shared" si="2"/>
        <v>271.58333333333331</v>
      </c>
      <c r="I12" s="26">
        <f t="shared" si="2"/>
        <v>271.58333333333331</v>
      </c>
      <c r="J12" s="26">
        <f t="shared" si="2"/>
        <v>271.58333333333331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611499.43974928046</v>
      </c>
      <c r="E15" s="27">
        <f t="shared" ref="E15:J15" si="3">E6+E12</f>
        <v>11545.276774292235</v>
      </c>
      <c r="F15" s="27">
        <f t="shared" si="3"/>
        <v>11591.241186367279</v>
      </c>
      <c r="G15" s="27">
        <f t="shared" si="3"/>
        <v>11637.333861291574</v>
      </c>
      <c r="H15" s="27">
        <f t="shared" si="3"/>
        <v>11683.555680872221</v>
      </c>
      <c r="I15" s="27">
        <f t="shared" si="3"/>
        <v>11729.907532978719</v>
      </c>
      <c r="J15" s="27">
        <f t="shared" si="3"/>
        <v>11776.390311584692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2695.1312544232078</v>
      </c>
      <c r="E18" s="6">
        <f>'Loan Amortization Table'!C15</f>
        <v>2713.6602817973676</v>
      </c>
      <c r="F18" s="6">
        <f>'Loan Amortization Table'!C16</f>
        <v>2732.3166962347241</v>
      </c>
      <c r="G18" s="6">
        <f>'Loan Amortization Table'!C17</f>
        <v>2751.1013735213382</v>
      </c>
      <c r="H18" s="6">
        <f>'Loan Amortization Table'!C18</f>
        <v>2770.0151954642974</v>
      </c>
      <c r="I18" s="6">
        <f>'Loan Amortization Table'!C19</f>
        <v>2789.0590499331142</v>
      </c>
      <c r="J18" s="6">
        <f>'Loan Amortization Table'!C20</f>
        <v>2808.2338309014044</v>
      </c>
    </row>
    <row r="19" spans="3:10">
      <c r="C19" s="12" t="s">
        <v>25</v>
      </c>
      <c r="D19" s="13">
        <f>$I$44/12</f>
        <v>190.10833333333332</v>
      </c>
      <c r="E19" s="13">
        <f t="shared" ref="E19:J19" si="4">$I$44/12</f>
        <v>190.10833333333332</v>
      </c>
      <c r="F19" s="13">
        <f t="shared" si="4"/>
        <v>190.10833333333332</v>
      </c>
      <c r="G19" s="13">
        <f t="shared" si="4"/>
        <v>190.10833333333332</v>
      </c>
      <c r="H19" s="13">
        <f t="shared" si="4"/>
        <v>190.10833333333332</v>
      </c>
      <c r="I19" s="13">
        <f t="shared" si="4"/>
        <v>190.10833333333332</v>
      </c>
      <c r="J19" s="13">
        <f t="shared" si="4"/>
        <v>190.10833333333332</v>
      </c>
    </row>
    <row r="20" spans="3:10">
      <c r="C20" s="31" t="s">
        <v>33</v>
      </c>
      <c r="D20" s="6">
        <f>I45</f>
        <v>525000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527885.23958775657</v>
      </c>
      <c r="E22" s="26">
        <f t="shared" ref="E22:J22" si="5">SUM(E18:E21)</f>
        <v>2903.7686151307007</v>
      </c>
      <c r="F22" s="26">
        <f t="shared" si="5"/>
        <v>2922.4250295680572</v>
      </c>
      <c r="G22" s="26">
        <f t="shared" si="5"/>
        <v>2941.2097068546714</v>
      </c>
      <c r="H22" s="26">
        <f t="shared" si="5"/>
        <v>2960.1235287976306</v>
      </c>
      <c r="I22" s="26">
        <f t="shared" si="5"/>
        <v>2979.1673832664474</v>
      </c>
      <c r="J22" s="26">
        <f t="shared" si="5"/>
        <v>2998.3421642347375</v>
      </c>
    </row>
    <row r="23" spans="3:10">
      <c r="C23" s="30"/>
    </row>
    <row r="24" spans="3:10">
      <c r="C24" s="42" t="s">
        <v>27</v>
      </c>
      <c r="D24" s="25">
        <f>D15-D22</f>
        <v>83614.200161523884</v>
      </c>
      <c r="E24" s="25">
        <f t="shared" ref="E24:J24" si="6">E15-E22</f>
        <v>8641.5081591615344</v>
      </c>
      <c r="F24" s="25">
        <f t="shared" si="6"/>
        <v>8668.8161567992211</v>
      </c>
      <c r="G24" s="25">
        <f t="shared" si="6"/>
        <v>8696.1241544369022</v>
      </c>
      <c r="H24" s="25">
        <f t="shared" si="6"/>
        <v>8723.4321520745907</v>
      </c>
      <c r="I24" s="25">
        <f t="shared" si="6"/>
        <v>8750.7401497122719</v>
      </c>
      <c r="J24" s="25">
        <f t="shared" si="6"/>
        <v>8778.0481473499531</v>
      </c>
    </row>
    <row r="25" spans="3:10">
      <c r="C25" s="42" t="s">
        <v>6</v>
      </c>
      <c r="D25" s="25">
        <f>D24</f>
        <v>83614.200161523884</v>
      </c>
      <c r="E25" s="25">
        <f>D25+E24</f>
        <v>92255.708320685415</v>
      </c>
      <c r="F25" s="25">
        <f t="shared" ref="F25:J25" si="7">E25+F24</f>
        <v>100924.52447748464</v>
      </c>
      <c r="G25" s="25">
        <f t="shared" si="7"/>
        <v>109620.64863192153</v>
      </c>
      <c r="H25" s="25">
        <f t="shared" si="7"/>
        <v>118344.08078399612</v>
      </c>
      <c r="I25" s="25">
        <f t="shared" si="7"/>
        <v>127094.8209337084</v>
      </c>
      <c r="J25" s="25">
        <f t="shared" si="7"/>
        <v>135872.86908105836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11551.421583476493</v>
      </c>
      <c r="E31" s="13">
        <f>'Expanded Profit and Loss'!D56+'Expanded Profit and Loss'!D55</f>
        <v>11598.168921628785</v>
      </c>
      <c r="F31" s="13">
        <f>'Expanded Profit and Loss'!E56+'Expanded Profit and Loss'!E55</f>
        <v>11645.049905247122</v>
      </c>
      <c r="G31" s="13">
        <f>'Expanded Profit and Loss'!F56+'Expanded Profit and Loss'!F55</f>
        <v>11692.065453144069</v>
      </c>
      <c r="H31" s="13">
        <f>'Expanded Profit and Loss'!G56+'Expanded Profit and Loss'!G55</f>
        <v>11739.216490449047</v>
      </c>
      <c r="I31" s="13">
        <f>'Cash Flow Analysis'!E6</f>
        <v>137787.98411727915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500000</v>
      </c>
      <c r="J35" s="30"/>
    </row>
    <row r="36" spans="3:10">
      <c r="C36" s="12" t="s">
        <v>22</v>
      </c>
      <c r="D36" s="13">
        <f>$I$36/12</f>
        <v>271.58333333333331</v>
      </c>
      <c r="E36" s="13">
        <f t="shared" ref="E36:H36" si="11">$I$36/12</f>
        <v>271.58333333333331</v>
      </c>
      <c r="F36" s="13">
        <f t="shared" si="11"/>
        <v>271.58333333333331</v>
      </c>
      <c r="G36" s="13">
        <f t="shared" si="11"/>
        <v>271.58333333333331</v>
      </c>
      <c r="H36" s="13">
        <f t="shared" si="11"/>
        <v>271.58333333333331</v>
      </c>
      <c r="I36" s="20">
        <f>'Cash Flow Analysis'!E11</f>
        <v>3259</v>
      </c>
      <c r="J36" s="30"/>
    </row>
    <row r="37" spans="3:10">
      <c r="C37" s="37" t="s">
        <v>23</v>
      </c>
      <c r="D37" s="26">
        <f>SUM(D34:D36)</f>
        <v>271.58333333333331</v>
      </c>
      <c r="E37" s="26">
        <f t="shared" ref="E37:H37" si="12">SUM(E34:E36)</f>
        <v>271.58333333333331</v>
      </c>
      <c r="F37" s="26">
        <f t="shared" si="12"/>
        <v>271.58333333333331</v>
      </c>
      <c r="G37" s="26">
        <f t="shared" si="12"/>
        <v>271.58333333333331</v>
      </c>
      <c r="H37" s="26">
        <f t="shared" si="12"/>
        <v>271.58333333333331</v>
      </c>
      <c r="I37" s="44">
        <f>'Cash Flow Analysis'!E12</f>
        <v>603259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11823.004916809827</v>
      </c>
      <c r="E40" s="27">
        <f t="shared" ref="E40:H40" si="13">E31+E37</f>
        <v>11869.752254962119</v>
      </c>
      <c r="F40" s="27">
        <f t="shared" si="13"/>
        <v>11916.633238580456</v>
      </c>
      <c r="G40" s="27">
        <f t="shared" si="13"/>
        <v>11963.648786477403</v>
      </c>
      <c r="H40" s="27">
        <f t="shared" si="13"/>
        <v>12010.799823782381</v>
      </c>
      <c r="I40" s="36">
        <f>'Cash Flow Analysis'!E15</f>
        <v>741046.98411727918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2827.5404384888516</v>
      </c>
      <c r="E43" s="6">
        <f>'Loan Amortization Table'!C22</f>
        <v>2846.9797790034622</v>
      </c>
      <c r="F43" s="6">
        <f>'Loan Amortization Table'!C23</f>
        <v>2866.552764984111</v>
      </c>
      <c r="G43" s="6">
        <f>'Loan Amortization Table'!C24</f>
        <v>2886.2603152433771</v>
      </c>
      <c r="H43" s="6">
        <f>'Loan Amortization Table'!C25</f>
        <v>2906.1033549106751</v>
      </c>
      <c r="I43" s="6">
        <f>'Cash Flow Analysis'!E18</f>
        <v>33592.954334905924</v>
      </c>
      <c r="J43" s="30"/>
    </row>
    <row r="44" spans="3:10">
      <c r="C44" s="12" t="s">
        <v>25</v>
      </c>
      <c r="D44" s="13">
        <f>$I$44/12</f>
        <v>190.10833333333332</v>
      </c>
      <c r="E44" s="13">
        <f t="shared" ref="E44:H44" si="14">$I$44/12</f>
        <v>190.10833333333332</v>
      </c>
      <c r="F44" s="13">
        <f t="shared" si="14"/>
        <v>190.10833333333332</v>
      </c>
      <c r="G44" s="13">
        <f t="shared" si="14"/>
        <v>190.10833333333332</v>
      </c>
      <c r="H44" s="13">
        <f t="shared" si="14"/>
        <v>190.10833333333332</v>
      </c>
      <c r="I44" s="13">
        <f>'Cash Flow Analysis'!E19</f>
        <v>2281.2999999999997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525000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96451.588882095399</v>
      </c>
      <c r="I46" s="13">
        <f>'Cash Flow Analysis'!E21</f>
        <v>96451.588882095399</v>
      </c>
      <c r="J46" s="30"/>
    </row>
    <row r="47" spans="3:10">
      <c r="C47" s="37" t="s">
        <v>26</v>
      </c>
      <c r="D47" s="26">
        <f>SUM(D43:D46)</f>
        <v>3017.6487718221847</v>
      </c>
      <c r="E47" s="26">
        <f t="shared" ref="E47:H47" si="15">SUM(E43:E46)</f>
        <v>3037.0881123367953</v>
      </c>
      <c r="F47" s="26">
        <f t="shared" si="15"/>
        <v>3056.6610983174442</v>
      </c>
      <c r="G47" s="26">
        <f t="shared" si="15"/>
        <v>3076.3686485767103</v>
      </c>
      <c r="H47" s="26">
        <f t="shared" si="15"/>
        <v>99547.800570339401</v>
      </c>
      <c r="I47" s="26">
        <f>'Cash Flow Analysis'!E22</f>
        <v>657325.8432170013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8805.3561449876415</v>
      </c>
      <c r="E49" s="25">
        <f t="shared" ref="E49:H49" si="16">E40-E47</f>
        <v>8832.6641426253227</v>
      </c>
      <c r="F49" s="25">
        <f t="shared" si="16"/>
        <v>8859.972140263013</v>
      </c>
      <c r="G49" s="25">
        <f t="shared" si="16"/>
        <v>8887.2801379006924</v>
      </c>
      <c r="H49" s="25">
        <f t="shared" si="16"/>
        <v>-87537.000746557023</v>
      </c>
      <c r="I49" s="45">
        <f>'Cash Flow Analysis'!E24</f>
        <v>83721.140900277882</v>
      </c>
      <c r="J49" s="30"/>
    </row>
    <row r="50" spans="3:10">
      <c r="C50" s="42" t="s">
        <v>6</v>
      </c>
      <c r="D50" s="25">
        <f>J25+D49</f>
        <v>144678.22522604599</v>
      </c>
      <c r="E50" s="25">
        <f>D50+E49</f>
        <v>153510.88936867131</v>
      </c>
      <c r="F50" s="25">
        <f t="shared" ref="F50:H50" si="17">E50+F49</f>
        <v>162370.86150893432</v>
      </c>
      <c r="G50" s="25">
        <f t="shared" si="17"/>
        <v>171258.14164683502</v>
      </c>
      <c r="H50" s="25">
        <f t="shared" si="17"/>
        <v>83721.140900277998</v>
      </c>
      <c r="I50" s="45">
        <f>'Cash Flow Analysis'!E25</f>
        <v>83721.140900277882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42958.504211259104</v>
      </c>
      <c r="E58" s="48">
        <f>'Expanded Profit and Loss'!D84+'Expanded Profit and Loss'!D83</f>
        <v>43142.059343639463</v>
      </c>
      <c r="F58" s="48">
        <f>'Expanded Profit and Loss'!E84+'Expanded Profit and Loss'!E83</f>
        <v>43329.42638781578</v>
      </c>
      <c r="G58" s="48">
        <f>'Expanded Profit and Loss'!F84+'Expanded Profit and Loss'!F83</f>
        <v>43520.684506224723</v>
      </c>
      <c r="H58" s="46">
        <f>'Cash Flow Analysis'!F6</f>
        <v>172950.67444893907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831.04499999999996</v>
      </c>
      <c r="E63" s="49">
        <f>$H$63/4</f>
        <v>831.04499999999996</v>
      </c>
      <c r="F63" s="49">
        <f>$H$63/4</f>
        <v>831.04499999999996</v>
      </c>
      <c r="G63" s="49">
        <f>$H$63/4</f>
        <v>831.04499999999996</v>
      </c>
      <c r="H63" s="13">
        <f>'Cash Flow Analysis'!F11</f>
        <v>3324.18</v>
      </c>
    </row>
    <row r="64" spans="3:10">
      <c r="C64" s="37" t="s">
        <v>23</v>
      </c>
      <c r="D64" s="51">
        <f>SUM(D61:D63)</f>
        <v>831.04499999999996</v>
      </c>
      <c r="E64" s="51">
        <f t="shared" ref="E64:G64" si="18">SUM(E61:E63)</f>
        <v>831.04499999999996</v>
      </c>
      <c r="F64" s="51">
        <f t="shared" si="18"/>
        <v>831.04499999999996</v>
      </c>
      <c r="G64" s="51">
        <f t="shared" si="18"/>
        <v>831.04499999999996</v>
      </c>
      <c r="H64" s="32">
        <f>'Cash Flow Analysis'!F12</f>
        <v>3324.18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43789.549211259102</v>
      </c>
      <c r="E67" s="48">
        <f t="shared" ref="E67:G67" si="19">E58+E64</f>
        <v>43973.104343639461</v>
      </c>
      <c r="F67" s="48">
        <f t="shared" si="19"/>
        <v>44160.471387815778</v>
      </c>
      <c r="G67" s="48">
        <f t="shared" si="19"/>
        <v>44351.729506224721</v>
      </c>
      <c r="H67" s="27">
        <f>'Cash Flow Analysis'!F15</f>
        <v>176274.85444893906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8838.7372076293213</v>
      </c>
      <c r="E70" s="50">
        <f>SUM('Loan Amortization Table'!C29:C31)</f>
        <v>9022.292340009677</v>
      </c>
      <c r="F70" s="50">
        <f>SUM('Loan Amortization Table'!C32:C34)</f>
        <v>9209.6593841859958</v>
      </c>
      <c r="G70" s="50">
        <f>SUM('Loan Amortization Table'!C35:C37)</f>
        <v>9400.9175025949335</v>
      </c>
      <c r="H70" s="32">
        <f>'Cash Flow Analysis'!F18</f>
        <v>36471.606434419933</v>
      </c>
    </row>
    <row r="71" spans="3:8">
      <c r="C71" s="12" t="s">
        <v>25</v>
      </c>
      <c r="D71" s="49">
        <f>$H$71/4</f>
        <v>581.73149999999998</v>
      </c>
      <c r="E71" s="49">
        <f>$H$71/4</f>
        <v>581.73149999999998</v>
      </c>
      <c r="F71" s="49">
        <f>$H$71/4</f>
        <v>581.73149999999998</v>
      </c>
      <c r="G71" s="49">
        <f>$H$71/4</f>
        <v>581.73149999999998</v>
      </c>
      <c r="H71" s="13">
        <f>'Cash Flow Analysis'!F19</f>
        <v>2326.9259999999999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121065.47211425734</v>
      </c>
      <c r="H73" s="13">
        <f>'Cash Flow Analysis'!F21</f>
        <v>121065.47211425734</v>
      </c>
    </row>
    <row r="74" spans="3:8">
      <c r="C74" s="37" t="s">
        <v>26</v>
      </c>
      <c r="D74" s="51">
        <f>SUM(D70:D73)</f>
        <v>9420.4687076293212</v>
      </c>
      <c r="E74" s="51">
        <f t="shared" ref="E74:G74" si="20">SUM(E70:E73)</f>
        <v>9604.0238400096769</v>
      </c>
      <c r="F74" s="51">
        <f t="shared" si="20"/>
        <v>9791.3908841859957</v>
      </c>
      <c r="G74" s="51">
        <f t="shared" si="20"/>
        <v>131048.12111685227</v>
      </c>
      <c r="H74" s="34">
        <f>'Cash Flow Analysis'!F22</f>
        <v>159864.00454867727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34369.080503629782</v>
      </c>
      <c r="E76" s="52">
        <f t="shared" ref="E76:G76" si="21">E67-E74</f>
        <v>34369.080503629782</v>
      </c>
      <c r="F76" s="52">
        <f t="shared" si="21"/>
        <v>34369.080503629782</v>
      </c>
      <c r="G76" s="52">
        <f t="shared" si="21"/>
        <v>-86696.391610627557</v>
      </c>
      <c r="H76" s="40">
        <f>'Cash Flow Analysis'!F24</f>
        <v>16410.84990026179</v>
      </c>
    </row>
    <row r="77" spans="3:8">
      <c r="C77" s="42" t="s">
        <v>6</v>
      </c>
      <c r="D77" s="52">
        <f>I50+D76</f>
        <v>118090.22140390766</v>
      </c>
      <c r="E77" s="52">
        <f>D77+E76</f>
        <v>152459.30190753745</v>
      </c>
      <c r="F77" s="52">
        <f t="shared" ref="F77:G77" si="22">E77+F76</f>
        <v>186828.38241116723</v>
      </c>
      <c r="G77" s="52">
        <f t="shared" si="22"/>
        <v>100131.99080053967</v>
      </c>
      <c r="H77" s="40">
        <f>'Cash Flow Analysis'!F25</f>
        <v>100131.99080053967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52693.693560759129</v>
      </c>
      <c r="E84" s="48">
        <f>'Expanded Profit and Loss'!D114+'Expanded Profit and Loss'!D113</f>
        <v>52892.97792498779</v>
      </c>
      <c r="F84" s="48">
        <f>'Expanded Profit and Loss'!E114+'Expanded Profit and Loss'!E113</f>
        <v>53096.400851886443</v>
      </c>
      <c r="G84" s="48">
        <f>'Expanded Profit and Loss'!F114+'Expanded Profit and Loss'!F113</f>
        <v>53304.048287490237</v>
      </c>
      <c r="H84" s="27">
        <f>'Cash Flow Analysis'!G6</f>
        <v>211987.12062512361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847.66589999999997</v>
      </c>
      <c r="E89" s="49">
        <f>$H$89/4</f>
        <v>847.66589999999997</v>
      </c>
      <c r="F89" s="49">
        <f>$H$89/4</f>
        <v>847.66589999999997</v>
      </c>
      <c r="G89" s="49">
        <f>$H$89/4</f>
        <v>847.66589999999997</v>
      </c>
      <c r="H89" s="13">
        <f>'Cash Flow Analysis'!G12</f>
        <v>3390.6635999999999</v>
      </c>
    </row>
    <row r="90" spans="3:8">
      <c r="C90" s="37" t="s">
        <v>23</v>
      </c>
      <c r="D90" s="51">
        <f>SUM(D87:D89)</f>
        <v>847.66589999999997</v>
      </c>
      <c r="E90" s="51">
        <f t="shared" ref="E90:G90" si="23">SUM(E87:E89)</f>
        <v>847.66589999999997</v>
      </c>
      <c r="F90" s="51">
        <f t="shared" si="23"/>
        <v>847.66589999999997</v>
      </c>
      <c r="G90" s="51">
        <f t="shared" si="23"/>
        <v>847.66589999999997</v>
      </c>
      <c r="H90" s="34">
        <f>'Cash Flow Analysis'!G12</f>
        <v>3390.6635999999999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53541.359460759129</v>
      </c>
      <c r="E93" s="48">
        <f t="shared" ref="E93:G93" si="24">E90+E84</f>
        <v>53740.64382498779</v>
      </c>
      <c r="F93" s="48">
        <f t="shared" si="24"/>
        <v>53944.066751886443</v>
      </c>
      <c r="G93" s="48">
        <f t="shared" si="24"/>
        <v>54151.714187490237</v>
      </c>
      <c r="H93" s="27">
        <f>'Cash Flow Analysis'!G15</f>
        <v>215377.78422512361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9596.1475016491149</v>
      </c>
      <c r="E96" s="50">
        <f>SUM('Loan Amortization Table'!C41:C43)</f>
        <v>9795.4318658777756</v>
      </c>
      <c r="F96" s="50">
        <f>SUM('Loan Amortization Table'!C44:C46)</f>
        <v>9998.8547927764266</v>
      </c>
      <c r="G96" s="50">
        <f>SUM('Loan Amortization Table'!C47:C49)</f>
        <v>10206.502228380215</v>
      </c>
      <c r="H96" s="32">
        <f>'Cash Flow Analysis'!G18</f>
        <v>39596.936388683527</v>
      </c>
    </row>
    <row r="97" spans="3:8">
      <c r="C97" s="12" t="s">
        <v>25</v>
      </c>
      <c r="D97" s="49">
        <f>$H$97/4</f>
        <v>593.36612999999988</v>
      </c>
      <c r="E97" s="49">
        <f t="shared" ref="E97:G97" si="25">$H$97/4</f>
        <v>593.36612999999988</v>
      </c>
      <c r="F97" s="49">
        <f t="shared" si="25"/>
        <v>593.36612999999988</v>
      </c>
      <c r="G97" s="49">
        <f t="shared" si="25"/>
        <v>593.36612999999988</v>
      </c>
      <c r="H97" s="13">
        <f>'Cash Flow Analysis'!G19</f>
        <v>2373.4645199999995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148390.98443758651</v>
      </c>
      <c r="H99" s="13">
        <f>'Cash Flow Analysis'!G21</f>
        <v>148390.98443758651</v>
      </c>
    </row>
    <row r="100" spans="3:8">
      <c r="C100" s="37" t="s">
        <v>26</v>
      </c>
      <c r="D100" s="51">
        <f>SUM(D96:D99)</f>
        <v>10189.513631649115</v>
      </c>
      <c r="E100" s="51">
        <f t="shared" ref="E100:G100" si="26">SUM(E96:E99)</f>
        <v>10388.797995877776</v>
      </c>
      <c r="F100" s="51">
        <f t="shared" si="26"/>
        <v>10592.220922776427</v>
      </c>
      <c r="G100" s="51">
        <f t="shared" si="26"/>
        <v>159190.85279596673</v>
      </c>
      <c r="H100" s="34">
        <f>'Cash Flow Analysis'!G22</f>
        <v>190361.38534627005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43351.845829110011</v>
      </c>
      <c r="E102" s="52">
        <f t="shared" ref="E102:G102" si="27">E93-E100</f>
        <v>43351.845829110011</v>
      </c>
      <c r="F102" s="52">
        <f t="shared" si="27"/>
        <v>43351.845829110018</v>
      </c>
      <c r="G102" s="52">
        <f t="shared" si="27"/>
        <v>-105039.1386084765</v>
      </c>
      <c r="H102" s="40">
        <f>'Cash Flow Analysis'!G24</f>
        <v>25016.398878853564</v>
      </c>
    </row>
    <row r="103" spans="3:8">
      <c r="C103" s="42" t="s">
        <v>6</v>
      </c>
      <c r="D103" s="52">
        <f>G77+D102</f>
        <v>143483.83662964968</v>
      </c>
      <c r="E103" s="52">
        <f>D103+E102</f>
        <v>186835.68245875969</v>
      </c>
      <c r="F103" s="52">
        <f t="shared" ref="F103:G103" si="28">E103+F102</f>
        <v>230187.5282878697</v>
      </c>
      <c r="G103" s="52">
        <f t="shared" si="28"/>
        <v>125148.38967939321</v>
      </c>
      <c r="H103" s="40">
        <f>'Cash Flow Analysis'!G25</f>
        <v>125148.38967939324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O39" sqref="O39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5"/>
      <c r="J5" s="108"/>
      <c r="K5" s="109"/>
      <c r="L5" s="109"/>
      <c r="M5" s="109"/>
    </row>
    <row r="6" spans="5:13">
      <c r="E6" s="94" t="str">
        <f>Inputs!B5</f>
        <v>Boat and Watercraft Rentals</v>
      </c>
      <c r="F6" s="94">
        <f>SUM(Inputs!C32:N32)</f>
        <v>421320</v>
      </c>
      <c r="G6" s="94">
        <f t="shared" ref="G6:H15" si="0">F6*(1+G$5)</f>
        <v>463452.00000000006</v>
      </c>
      <c r="H6" s="94">
        <f t="shared" si="0"/>
        <v>509797.20000000013</v>
      </c>
      <c r="I6" s="127"/>
      <c r="J6" s="94" t="str">
        <f>E6</f>
        <v>Boat and Watercraft Rentals</v>
      </c>
      <c r="K6" s="143">
        <f>F6/$F$16</f>
        <v>0.64516129032258063</v>
      </c>
      <c r="L6" s="143">
        <f>G6/$G$16</f>
        <v>0.64516129032258063</v>
      </c>
      <c r="M6" s="143">
        <f>H6/$H$16</f>
        <v>0.64516129032258074</v>
      </c>
    </row>
    <row r="7" spans="5:13">
      <c r="E7" s="94" t="str">
        <f>Inputs!B6</f>
        <v>Excursions</v>
      </c>
      <c r="F7" s="94">
        <f>SUM(Inputs!C33:N33)</f>
        <v>231726</v>
      </c>
      <c r="G7" s="94">
        <f t="shared" si="0"/>
        <v>254898.60000000003</v>
      </c>
      <c r="H7" s="94">
        <f t="shared" si="0"/>
        <v>280388.46000000008</v>
      </c>
      <c r="I7" s="127"/>
      <c r="J7" s="94" t="str">
        <f t="shared" ref="J7:J15" si="1">E7</f>
        <v>Excursions</v>
      </c>
      <c r="K7" s="143">
        <f t="shared" ref="K7:K15" si="2">F7/$F$16</f>
        <v>0.35483870967741937</v>
      </c>
      <c r="L7" s="143">
        <f t="shared" ref="L7:L15" si="3">G7/$G$16</f>
        <v>0.35483870967741937</v>
      </c>
      <c r="M7" s="143">
        <f t="shared" ref="M7:M15" si="4">H7/$H$16</f>
        <v>0.35483870967741937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653046</v>
      </c>
      <c r="G16" s="99">
        <f>SUM(G6:G15)</f>
        <v>718350.60000000009</v>
      </c>
      <c r="H16" s="99">
        <f>SUM(H6:H15)</f>
        <v>790185.66000000015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5"/>
      <c r="K20" s="125"/>
      <c r="L20" s="125"/>
      <c r="M20" s="125"/>
    </row>
    <row r="21" spans="5:13">
      <c r="E21" s="94" t="str">
        <f>E6</f>
        <v>Boat and Watercraft Rentals</v>
      </c>
      <c r="F21" s="94">
        <f>SUM(Inputs!C51:N51)</f>
        <v>21066</v>
      </c>
      <c r="G21" s="94">
        <f t="shared" ref="G21:H30" si="5">F21*(1+G$20)</f>
        <v>23172.600000000002</v>
      </c>
      <c r="H21" s="94">
        <f t="shared" si="5"/>
        <v>25489.860000000004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Excursions</v>
      </c>
      <c r="F22" s="94">
        <f>SUM(Inputs!C52:N52)</f>
        <v>11586.300000000001</v>
      </c>
      <c r="G22" s="94">
        <f t="shared" si="5"/>
        <v>12744.930000000002</v>
      </c>
      <c r="H22" s="94">
        <f t="shared" si="5"/>
        <v>14019.423000000004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32652.300000000003</v>
      </c>
      <c r="G31" s="100">
        <f>SUM(G21:G30)</f>
        <v>35917.530000000006</v>
      </c>
      <c r="H31" s="100">
        <f>SUM(H21:H30)</f>
        <v>39509.28300000001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2025-10-07T14:35:56Z</dcterms:modified>
</cp:coreProperties>
</file>