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Comedy Club\"/>
    </mc:Choice>
  </mc:AlternateContent>
  <xr:revisionPtr revIDLastSave="0" documentId="13_ncr:1_{1684202C-F5B2-4241-A35E-945CF0796C4C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3" l="1"/>
  <c r="I6" i="7"/>
  <c r="H6" i="7"/>
  <c r="G8" i="14"/>
  <c r="C33" i="23"/>
  <c r="J9" i="9"/>
  <c r="J10" i="9"/>
  <c r="J11" i="9"/>
  <c r="J12" i="9"/>
  <c r="J13" i="9"/>
  <c r="J14" i="9"/>
  <c r="J15" i="9"/>
  <c r="E20" i="3"/>
  <c r="F9" i="9"/>
  <c r="F10" i="9"/>
  <c r="F11" i="9"/>
  <c r="F12" i="9"/>
  <c r="F13" i="9"/>
  <c r="F14" i="9"/>
  <c r="F15" i="9"/>
  <c r="E7" i="9"/>
  <c r="J7" i="9" s="1"/>
  <c r="E8" i="9"/>
  <c r="J8" i="9" s="1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C60" i="7"/>
  <c r="D60" i="7" s="1"/>
  <c r="E60" i="7" s="1"/>
  <c r="C61" i="7"/>
  <c r="D61" i="7" s="1"/>
  <c r="E61" i="7" s="1"/>
  <c r="C62" i="7"/>
  <c r="D62" i="7" s="1"/>
  <c r="E62" i="7" s="1"/>
  <c r="C63" i="7"/>
  <c r="D63" i="7" s="1"/>
  <c r="E63" i="7" s="1"/>
  <c r="C64" i="7"/>
  <c r="D64" i="7" s="1"/>
  <c r="E64" i="7" s="1"/>
  <c r="C65" i="7"/>
  <c r="D65" i="7" s="1"/>
  <c r="E65" i="7" s="1"/>
  <c r="C66" i="7"/>
  <c r="D66" i="7" s="1"/>
  <c r="E66" i="7" s="1"/>
  <c r="C67" i="7"/>
  <c r="D67" i="7" s="1"/>
  <c r="E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E34" i="23" l="1"/>
  <c r="E53" i="23" s="1"/>
  <c r="D34" i="23"/>
  <c r="D53" i="23" s="1"/>
  <c r="H8" i="14"/>
  <c r="L35" i="7"/>
  <c r="D33" i="23"/>
  <c r="D52" i="23" s="1"/>
  <c r="D51" i="23"/>
  <c r="D56" i="23"/>
  <c r="D57" i="23"/>
  <c r="D59" i="23"/>
  <c r="C52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F32" i="23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J6" i="7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42" i="23" l="1"/>
  <c r="F33" i="23"/>
  <c r="F52" i="23" s="1"/>
  <c r="F34" i="23"/>
  <c r="C61" i="23"/>
  <c r="C7" i="11" s="1"/>
  <c r="E61" i="23"/>
  <c r="E7" i="11" s="1"/>
  <c r="C42" i="11"/>
  <c r="F26" i="9"/>
  <c r="F42" i="11"/>
  <c r="D61" i="23"/>
  <c r="D7" i="11" s="1"/>
  <c r="F28" i="9"/>
  <c r="F25" i="9"/>
  <c r="F29" i="9"/>
  <c r="D42" i="11"/>
  <c r="F30" i="9"/>
  <c r="F27" i="9"/>
  <c r="F24" i="9"/>
  <c r="D42" i="23"/>
  <c r="F51" i="23"/>
  <c r="E6" i="11"/>
  <c r="G47" i="11"/>
  <c r="D19" i="11"/>
  <c r="H19" i="11"/>
  <c r="G14" i="11"/>
  <c r="I14" i="11"/>
  <c r="C19" i="11"/>
  <c r="F14" i="11"/>
  <c r="E14" i="11"/>
  <c r="H14" i="11"/>
  <c r="C14" i="11"/>
  <c r="G32" i="23"/>
  <c r="G34" i="23" s="1"/>
  <c r="G5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C66" i="23" l="1"/>
  <c r="F53" i="23"/>
  <c r="F61" i="23" s="1"/>
  <c r="F7" i="11" s="1"/>
  <c r="G51" i="23"/>
  <c r="G33" i="23"/>
  <c r="E66" i="23"/>
  <c r="F42" i="23"/>
  <c r="F6" i="11" s="1"/>
  <c r="D6" i="11"/>
  <c r="D66" i="23"/>
  <c r="H32" i="23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H33" i="23" l="1"/>
  <c r="H52" i="23" s="1"/>
  <c r="H34" i="23"/>
  <c r="F66" i="23"/>
  <c r="G42" i="23"/>
  <c r="G52" i="23"/>
  <c r="H51" i="23"/>
  <c r="M34" i="7"/>
  <c r="M33" i="7"/>
  <c r="M35" i="7"/>
  <c r="M31" i="7"/>
  <c r="M32" i="7"/>
  <c r="I32" i="23"/>
  <c r="I34" i="23" s="1"/>
  <c r="I5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H53" i="23" l="1"/>
  <c r="H61" i="23" s="1"/>
  <c r="H7" i="11" s="1"/>
  <c r="I51" i="23"/>
  <c r="I33" i="23"/>
  <c r="H42" i="23"/>
  <c r="H6" i="11" s="1"/>
  <c r="G61" i="23"/>
  <c r="G7" i="11" s="1"/>
  <c r="G6" i="11"/>
  <c r="J32" i="23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J33" i="23" l="1"/>
  <c r="J52" i="23" s="1"/>
  <c r="J34" i="23"/>
  <c r="G66" i="23"/>
  <c r="H66" i="23"/>
  <c r="J51" i="23"/>
  <c r="I42" i="23"/>
  <c r="I52" i="23"/>
  <c r="K32" i="23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53" i="23" l="1"/>
  <c r="J61" i="23" s="1"/>
  <c r="C35" i="11" s="1"/>
  <c r="K33" i="23"/>
  <c r="K52" i="23" s="1"/>
  <c r="K34" i="23"/>
  <c r="K53" i="23" s="1"/>
  <c r="J42" i="23"/>
  <c r="C34" i="11" s="1"/>
  <c r="I61" i="23"/>
  <c r="I7" i="11" s="1"/>
  <c r="K51" i="23"/>
  <c r="I6" i="11"/>
  <c r="L32" i="23"/>
  <c r="L34" i="23" s="1"/>
  <c r="L53" i="23" s="1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M33" i="23" l="1"/>
  <c r="M52" i="23" s="1"/>
  <c r="M34" i="23"/>
  <c r="L61" i="23"/>
  <c r="E35" i="11" s="1"/>
  <c r="L42" i="23"/>
  <c r="E34" i="11" s="1"/>
  <c r="K66" i="23"/>
  <c r="M51" i="23"/>
  <c r="N32" i="23"/>
  <c r="N34" i="23" s="1"/>
  <c r="N53" i="23" s="1"/>
  <c r="C38" i="11"/>
  <c r="I8" i="11"/>
  <c r="I10" i="11"/>
  <c r="E18" i="8"/>
  <c r="D19" i="8" s="1"/>
  <c r="H26" i="11" s="1"/>
  <c r="A23" i="8"/>
  <c r="B22" i="8"/>
  <c r="M53" i="23" l="1"/>
  <c r="F23" i="9" s="1"/>
  <c r="G23" i="9" s="1"/>
  <c r="F8" i="9"/>
  <c r="G8" i="9" s="1"/>
  <c r="N51" i="23"/>
  <c r="F21" i="9" s="1"/>
  <c r="N33" i="23"/>
  <c r="M42" i="23"/>
  <c r="F34" i="11" s="1"/>
  <c r="L66" i="23"/>
  <c r="F6" i="9"/>
  <c r="G30" i="9"/>
  <c r="G15" i="9"/>
  <c r="G27" i="9"/>
  <c r="G12" i="9"/>
  <c r="C36" i="11"/>
  <c r="C19" i="8"/>
  <c r="I18" i="12" s="1"/>
  <c r="I22" i="12" s="1"/>
  <c r="A24" i="8"/>
  <c r="B23" i="8"/>
  <c r="M61" i="23" l="1"/>
  <c r="F35" i="11" s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M66" i="23" l="1"/>
  <c r="F22" i="9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F21" i="3" s="1"/>
  <c r="G84" i="11"/>
  <c r="C38" i="8"/>
  <c r="B64" i="8"/>
  <c r="A65" i="8"/>
  <c r="F20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21" i="3" s="1"/>
  <c r="G114" i="11"/>
  <c r="B94" i="8"/>
  <c r="A95" i="8"/>
  <c r="H99" i="12" l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l="1"/>
  <c r="E260" i="8" s="1"/>
  <c r="A262" i="8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D270" i="8" s="1"/>
  <c r="A271" i="8"/>
  <c r="B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 s="1"/>
  <c r="B274" i="8"/>
  <c r="A275" i="8"/>
  <c r="C274" i="8" l="1"/>
  <c r="E274" i="8" s="1"/>
  <c r="D275" i="8" s="1"/>
  <c r="A276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D288" i="8" s="1"/>
  <c r="A289" i="8"/>
  <c r="B288" i="8"/>
  <c r="C288" i="8" l="1"/>
  <c r="E288" i="8" s="1"/>
  <c r="D289" i="8" s="1"/>
  <c r="B289" i="8"/>
  <c r="A290" i="8"/>
  <c r="C289" i="8" l="1"/>
  <c r="E289" i="8" s="1"/>
  <c r="D290" i="8" s="1"/>
  <c r="B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D295" i="8" s="1"/>
  <c r="B295" i="8"/>
  <c r="A296" i="8"/>
  <c r="C295" i="8" l="1"/>
  <c r="E295" i="8" s="1"/>
  <c r="D296" i="8" s="1"/>
  <c r="B296" i="8"/>
  <c r="A297" i="8"/>
  <c r="C296" i="8" l="1"/>
  <c r="E296" i="8" s="1"/>
  <c r="D297" i="8" s="1"/>
  <c r="A298" i="8"/>
  <c r="B297" i="8"/>
  <c r="C297" i="8" l="1"/>
  <c r="E297" i="8" s="1"/>
  <c r="D298" i="8" s="1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D306" i="8" s="1"/>
  <c r="B306" i="8"/>
  <c r="A307" i="8"/>
  <c r="C306" i="8" l="1"/>
  <c r="E306" i="8" s="1"/>
  <c r="D307" i="8" s="1"/>
  <c r="B307" i="8"/>
  <c r="A308" i="8"/>
  <c r="C307" i="8" l="1"/>
  <c r="E307" i="8" s="1"/>
  <c r="D308" i="8" s="1"/>
  <c r="B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D314" i="8" s="1"/>
  <c r="B314" i="8"/>
  <c r="A315" i="8"/>
  <c r="C314" i="8" l="1"/>
  <c r="E314" i="8" s="1"/>
  <c r="D315" i="8" s="1"/>
  <c r="A316" i="8"/>
  <c r="B315" i="8"/>
  <c r="C315" i="8" l="1"/>
  <c r="E315" i="8" s="1"/>
  <c r="D316" i="8" s="1"/>
  <c r="B316" i="8"/>
  <c r="A317" i="8"/>
  <c r="C316" i="8" l="1"/>
  <c r="E316" i="8" s="1"/>
  <c r="D317" i="8" s="1"/>
  <c r="C317" i="8" s="1"/>
  <c r="E317" i="8" s="1"/>
  <c r="A318" i="8"/>
  <c r="B317" i="8"/>
  <c r="A319" i="8" l="1"/>
  <c r="B318" i="8"/>
  <c r="D318" i="8"/>
  <c r="C318" i="8" l="1"/>
  <c r="E318" i="8" s="1"/>
  <c r="B319" i="8"/>
  <c r="D319" i="8"/>
  <c r="A320" i="8"/>
  <c r="C319" i="8" l="1"/>
  <c r="E319" i="8" s="1"/>
  <c r="D320" i="8" s="1"/>
  <c r="B320" i="8"/>
  <c r="A321" i="8"/>
  <c r="C320" i="8" l="1"/>
  <c r="E320" i="8" s="1"/>
  <c r="D321" i="8" s="1"/>
  <c r="A322" i="8"/>
  <c r="B321" i="8"/>
  <c r="C321" i="8" l="1"/>
  <c r="E321" i="8" s="1"/>
  <c r="D322" i="8" s="1"/>
  <c r="A323" i="8"/>
  <c r="B322" i="8"/>
  <c r="C322" i="8" l="1"/>
  <c r="E322" i="8" s="1"/>
  <c r="D323" i="8" s="1"/>
  <c r="A324" i="8"/>
  <c r="B323" i="8"/>
  <c r="C323" i="8" l="1"/>
  <c r="E323" i="8" s="1"/>
  <c r="D324" i="8" s="1"/>
  <c r="A325" i="8"/>
  <c r="B324" i="8"/>
  <c r="C324" i="8" l="1"/>
  <c r="E324" i="8" s="1"/>
  <c r="D325" i="8" s="1"/>
  <c r="C325" i="8" s="1"/>
  <c r="E325" i="8" s="1"/>
  <c r="B325" i="8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B328" i="8"/>
  <c r="A329" i="8"/>
  <c r="C328" i="8" l="1"/>
  <c r="E328" i="8" s="1"/>
  <c r="B329" i="8"/>
  <c r="A330" i="8"/>
  <c r="D329" i="8"/>
  <c r="C329" i="8" l="1"/>
  <c r="E329" i="8" s="1"/>
  <c r="D330" i="8" s="1"/>
  <c r="B330" i="8"/>
  <c r="A331" i="8"/>
  <c r="C330" i="8" l="1"/>
  <c r="E330" i="8" s="1"/>
  <c r="B331" i="8"/>
  <c r="D331" i="8"/>
  <c r="A332" i="8"/>
  <c r="C331" i="8" l="1"/>
  <c r="E331" i="8" s="1"/>
  <c r="B332" i="8"/>
  <c r="D332" i="8"/>
  <c r="A333" i="8"/>
  <c r="C332" i="8" l="1"/>
  <c r="E332" i="8" s="1"/>
  <c r="D333" i="8"/>
  <c r="A334" i="8"/>
  <c r="B333" i="8"/>
  <c r="C333" i="8" l="1"/>
  <c r="E333" i="8" s="1"/>
  <c r="D334" i="8"/>
  <c r="B334" i="8"/>
  <c r="C334" i="8" s="1"/>
  <c r="E334" i="8" s="1"/>
  <c r="A335" i="8"/>
  <c r="A336" i="8" l="1"/>
  <c r="B335" i="8"/>
  <c r="D335" i="8"/>
  <c r="C335" i="8" l="1"/>
  <c r="E335" i="8" s="1"/>
  <c r="A337" i="8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A344" i="8"/>
  <c r="B343" i="8"/>
  <c r="C343" i="8" l="1"/>
  <c r="E343" i="8" s="1"/>
  <c r="B344" i="8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 s="1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D355" i="8"/>
  <c r="C355" i="8" l="1"/>
  <c r="E355" i="8" s="1"/>
  <c r="B356" i="8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A364" i="8"/>
  <c r="C363" i="8" l="1"/>
  <c r="E363" i="8" s="1"/>
  <c r="D364" i="8"/>
  <c r="B364" i="8"/>
  <c r="A365" i="8"/>
  <c r="C364" i="8" l="1"/>
  <c r="E364" i="8" s="1"/>
  <c r="A366" i="8"/>
  <c r="D365" i="8"/>
  <c r="B365" i="8"/>
  <c r="C365" i="8" l="1"/>
  <c r="E365" i="8" s="1"/>
  <c r="D366" i="8"/>
  <c r="B366" i="8"/>
  <c r="A367" i="8"/>
  <c r="C366" i="8" l="1"/>
  <c r="E366" i="8" s="1"/>
  <c r="D367" i="8"/>
  <c r="B367" i="8"/>
  <c r="A368" i="8"/>
  <c r="C367" i="8" l="1"/>
  <c r="E367" i="8" s="1"/>
  <c r="D368" i="8"/>
  <c r="A369" i="8"/>
  <c r="B368" i="8"/>
  <c r="C368" i="8" s="1"/>
  <c r="E368" i="8" s="1"/>
  <c r="A370" i="8" l="1"/>
  <c r="D369" i="8"/>
  <c r="B369" i="8"/>
  <c r="C369" i="8" l="1"/>
  <c r="E369" i="8" s="1"/>
  <c r="A371" i="8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<sst xmlns="http://schemas.openxmlformats.org/spreadsheetml/2006/main" count="324" uniqueCount="140">
  <si>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</si>
  <si>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</si>
  <si>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</si>
  <si>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</si>
  <si>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</si>
  <si>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</si>
  <si>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</si>
  <si>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</si>
  <si>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</si>
  <si>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</si>
  <si>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</si>
  <si>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</si>
  <si>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</si>
  <si>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</si>
  <si>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</si>
  <si>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</si>
  <si>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</si>
  <si>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</si>
  <si>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</si>
  <si>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</si>
  <si>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</si>
  <si>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</si>
  <si>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</si>
  <si>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</si>
  <si>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</si>
  <si>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</si>
  <si>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</si>
  <si>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</si>
  <si>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</si>
  <si>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</si>
  <si>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</si>
  <si>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</si>
  <si>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</si>
  <si>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</si>
  <si>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</si>
  <si>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</si>
  <si>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</si>
  <si>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</si>
  <si>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</si>
  <si>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</si>
  <si>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</si>
  <si>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</si>
  <si>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</si>
  <si>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</si>
  <si>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</si>
  <si>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</si>
  <si>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</si>
  <si>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</si>
  <si>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</si>
  <si>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</si>
  <si>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</si>
  <si>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</si>
  <si>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</si>
  <si>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</si>
  <si>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</si>
  <si>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</si>
  <si>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</si>
  <si>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</si>
  <si>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</si>
  <si>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</si>
  <si>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</si>
  <si>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</si>
  <si>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</si>
  <si>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</si>
  <si>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</si>
  <si>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</si>
  <si>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</si>
  <si>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</si>
  <si>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</si>
  <si>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</si>
  <si>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</si>
  <si>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</si>
  <si>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</si>
  <si>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</si>
  <si>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</si>
  <si>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</si>
  <si>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</si>
  <si>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</si>
  <si>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</si>
  <si>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</si>
  <si>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</si>
  <si>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</si>
  <si>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</si>
  <si>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</si>
  <si>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</si>
  <si>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</si>
  <si>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</si>
  <si>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</si>
  <si>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</si>
  <si>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</si>
  <si>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</si>
  <si>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</si>
  <si>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</si>
  <si>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</si>
  <si>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</si>
  <si>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</si>
  <si>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</si>
  <si>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</si>
  <si>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</si>
  <si>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</si>
  <si>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</si>
  <si>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</si>
  <si>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</si>
  <si>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</si>
  <si>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</si>
  <si>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</si>
  <si>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</si>
  <si>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</si>
  <si>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</si>
  <si>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</si>
  <si>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</si>
  <si>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</si>
  <si>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</si>
  <si>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</si>
  <si>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</si>
  <si>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</si>
  <si>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</si>
  <si>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</si>
  <si>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</si>
  <si>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</si>
  <si>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</si>
  <si>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</si>
  <si>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</si>
  <si>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</si>
  <si>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</si>
  <si>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</si>
  <si>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</si>
  <si>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</si>
  <si>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Food Sales</t>
  </si>
  <si>
    <t>Beverage Sales</t>
  </si>
  <si>
    <t>Front of House Staff</t>
  </si>
  <si>
    <t>Kitchen Staff</t>
  </si>
  <si>
    <t>Buildout, Furniture, Fixtures, and Equipment</t>
  </si>
  <si>
    <t>Cover Fees</t>
  </si>
  <si>
    <t>Location Staff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</si>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</sst>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6" fontId="0" fillId="0" borderId="0" xfId="0" applyNumberFormat="1"/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138063.530123887</c:v>
                </c:pt>
                <c:pt idx="1">
                  <c:v>177570.10972202689</c:v>
                </c:pt>
                <c:pt idx="2">
                  <c:v>221493.6439187986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6463.3920270113676</c:v>
                </c:pt>
                <c:pt idx="1">
                  <c:v>7069.7027814966732</c:v>
                </c:pt>
                <c:pt idx="2">
                  <c:v>7732.8896668847947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82838.118074332204</c:v>
                </c:pt>
                <c:pt idx="1">
                  <c:v>106542.06583321613</c:v>
                </c:pt>
                <c:pt idx="2">
                  <c:v>132896.18635127915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138063.530123887</c:v>
                </c:pt>
                <c:pt idx="1">
                  <c:v>177570.10972202689</c:v>
                </c:pt>
                <c:pt idx="2">
                  <c:v>221493.6439187986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BAB-46C8-A474-437B84AE8ED3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BAB-46C8-A474-437B84AE8E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82838.118074332204</c:v>
                </c:pt>
                <c:pt idx="1">
                  <c:v>106542.06583321613</c:v>
                </c:pt>
                <c:pt idx="2">
                  <c:v>132896.18635127915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191762.02002254344</c:v>
                </c:pt>
                <c:pt idx="1">
                  <c:v>96536.607972988626</c:v>
                </c:pt>
                <c:pt idx="2">
                  <c:v>95225.412049554812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248780.36112985748</c:v>
                </c:pt>
                <c:pt idx="1">
                  <c:v>92526.90519149194</c:v>
                </c:pt>
                <c:pt idx="2">
                  <c:v>156253.45593836554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322766.12903049216</c:v>
                </c:pt>
                <c:pt idx="1">
                  <c:v>87915.215524607149</c:v>
                </c:pt>
                <c:pt idx="2">
                  <c:v>234850.91350588499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70603674540683"/>
          <c:y val="0.19949074074074077"/>
          <c:w val="0.8332939632545931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191762.02002254344</c:v>
                </c:pt>
                <c:pt idx="1">
                  <c:v>248780.36112985748</c:v>
                </c:pt>
                <c:pt idx="2">
                  <c:v>322766.12903049216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96536.607972988626</c:v>
                </c:pt>
                <c:pt idx="1">
                  <c:v>92526.90519149194</c:v>
                </c:pt>
                <c:pt idx="2">
                  <c:v>87915.215524607149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95225.412049554812</c:v>
                </c:pt>
                <c:pt idx="1">
                  <c:v>156253.45593836554</c:v>
                </c:pt>
                <c:pt idx="2">
                  <c:v>234850.91350588499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859462.0660337552</c:v>
                </c:pt>
                <c:pt idx="1">
                  <c:v>892741.24732067494</c:v>
                </c:pt>
                <c:pt idx="2">
                  <c:v>928359.05327637121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859462.0660337552</c:v>
                </c:pt>
                <c:pt idx="1">
                  <c:v>892741.24732067494</c:v>
                </c:pt>
                <c:pt idx="2">
                  <c:v>928359.05327637121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1157310</c:v>
                </c:pt>
                <c:pt idx="1">
                  <c:v>1273041.0000000002</c:v>
                </c:pt>
                <c:pt idx="2">
                  <c:v>1400345.1000000003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581978.59899999993</c:v>
                </c:pt>
                <c:pt idx="1">
                  <c:v>604513.35889999999</c:v>
                </c:pt>
                <c:pt idx="2">
                  <c:v>628631.70178999996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201685.60100000002</c:v>
                </c:pt>
                <c:pt idx="1">
                  <c:v>257517.26110000024</c:v>
                </c:pt>
                <c:pt idx="2">
                  <c:v>319601.9802100003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1157310</c:v>
                </c:pt>
                <c:pt idx="1">
                  <c:v>1273041.0000000002</c:v>
                </c:pt>
                <c:pt idx="2">
                  <c:v>1400345.1000000003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9.200063354149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201685.60100000002</c:v>
                </c:pt>
                <c:pt idx="1">
                  <c:v>257517.26110000024</c:v>
                </c:pt>
                <c:pt idx="2">
                  <c:v>319601.9802100003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581978.59899999993</c:v>
                </c:pt>
                <c:pt idx="1">
                  <c:v>604513.35889999999</c:v>
                </c:pt>
                <c:pt idx="2">
                  <c:v>628631.70178999996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83-41A4-AA6C-FF4DB26FE4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Overview'!$J$6:$J$8</c:f>
              <c:strCache>
                <c:ptCount val="3"/>
                <c:pt idx="0">
                  <c:v>Beverage Sales</c:v>
                </c:pt>
                <c:pt idx="1">
                  <c:v>Cover Fees</c:v>
                </c:pt>
                <c:pt idx="2">
                  <c:v>Food Sales</c:v>
                </c:pt>
              </c:strCache>
            </c:strRef>
          </c:cat>
          <c:val>
            <c:numRef>
              <c:f>'Revenue Overview'!$K$6:$K$8</c:f>
              <c:numCache>
                <c:formatCode>0%</c:formatCode>
                <c:ptCount val="3"/>
                <c:pt idx="0">
                  <c:v>0.5714285714285714</c:v>
                </c:pt>
                <c:pt idx="1">
                  <c:v>0.2</c:v>
                </c:pt>
                <c:pt idx="2">
                  <c:v>0.22857142857142856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191762.02002254344</c:v>
                </c:pt>
                <c:pt idx="1">
                  <c:v>248780.36112985748</c:v>
                </c:pt>
                <c:pt idx="2">
                  <c:v>322766.12903049216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96536.607972988626</c:v>
                </c:pt>
                <c:pt idx="1">
                  <c:v>92526.90519149194</c:v>
                </c:pt>
                <c:pt idx="2">
                  <c:v>87915.215524607149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95225.412049554812</c:v>
                </c:pt>
                <c:pt idx="1">
                  <c:v>156253.45593836554</c:v>
                </c:pt>
                <c:pt idx="2">
                  <c:v>234850.91350588499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24584152255695E-2"/>
          <c:y val="0.15137860535928996"/>
          <c:w val="0.82895083169548867"/>
          <c:h val="0.695064175269726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Front of House Staff</c:v>
                </c:pt>
                <c:pt idx="3">
                  <c:v>Kitchen Staff</c:v>
                </c:pt>
                <c:pt idx="4">
                  <c:v>Location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0.11904761904761904</c:v>
                </c:pt>
                <c:pt idx="1">
                  <c:v>0.10714285714285714</c:v>
                </c:pt>
                <c:pt idx="2">
                  <c:v>0.21428571428571427</c:v>
                </c:pt>
                <c:pt idx="3">
                  <c:v>0.13095238095238096</c:v>
                </c:pt>
                <c:pt idx="4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Beverage Sales</c:v>
                </c:pt>
                <c:pt idx="1">
                  <c:v>Cover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0.5714285714285714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Buildout, Furniture, Fixtures, and 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102500</c:v>
                </c:pt>
                <c:pt idx="1">
                  <c:v>12500</c:v>
                </c:pt>
                <c:pt idx="2">
                  <c:v>10000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63240196241299"/>
          <c:y val="0.79917953585207346"/>
          <c:w val="0.25136759803758707"/>
          <c:h val="0.18145292131337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17765728001951E-2"/>
          <c:y val="0.10020937806078731"/>
          <c:w val="0.89121821310797689"/>
          <c:h val="0.77531002504367541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1157310</c:v>
                </c:pt>
                <c:pt idx="1">
                  <c:v>1273041.0000000002</c:v>
                </c:pt>
                <c:pt idx="2">
                  <c:v>1400345.1000000003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581978.59899999993</c:v>
                </c:pt>
                <c:pt idx="1">
                  <c:v>604513.35889999999</c:v>
                </c:pt>
                <c:pt idx="2">
                  <c:v>628631.70178999996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201685.60100000002</c:v>
                </c:pt>
                <c:pt idx="1">
                  <c:v>257517.26110000024</c:v>
                </c:pt>
                <c:pt idx="2">
                  <c:v>319601.9802100003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1157310</c:v>
                </c:pt>
                <c:pt idx="1">
                  <c:v>1273041.0000000002</c:v>
                </c:pt>
                <c:pt idx="2">
                  <c:v>1400345.1000000003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201685.60100000002</c:v>
                </c:pt>
                <c:pt idx="1">
                  <c:v>257517.26110000024</c:v>
                </c:pt>
                <c:pt idx="2">
                  <c:v>319601.9802100003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6280016280017474E-3"/>
                  <c:y val="-6.484295156265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581978.59899999993</c:v>
                </c:pt>
                <c:pt idx="1">
                  <c:v>604513.35889999999</c:v>
                </c:pt>
                <c:pt idx="2">
                  <c:v>628631.70178999996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500879139960988E-2"/>
          <c:y val="9.6566876076954813E-2"/>
          <c:w val="0.8729858979317755"/>
          <c:h val="0.77113626750430786"/>
        </c:manualLayout>
      </c:layout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138063.530123887</c:v>
                </c:pt>
                <c:pt idx="1">
                  <c:v>177570.10972202689</c:v>
                </c:pt>
                <c:pt idx="2">
                  <c:v>221493.6439187986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6463.3920270113676</c:v>
                </c:pt>
                <c:pt idx="1">
                  <c:v>7069.7027814966732</c:v>
                </c:pt>
                <c:pt idx="2">
                  <c:v>7732.8896668847947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82838.118074332204</c:v>
                </c:pt>
                <c:pt idx="1">
                  <c:v>106542.06583321613</c:v>
                </c:pt>
                <c:pt idx="2">
                  <c:v>132896.18635127915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138063.530123887</c:v>
                </c:pt>
                <c:pt idx="1">
                  <c:v>177570.10972202689</c:v>
                </c:pt>
                <c:pt idx="2">
                  <c:v>221493.6439187986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834-4220-93CA-4B0D0A64821B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834-4220-93CA-4B0D0A64821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82838.118074332204</c:v>
                </c:pt>
                <c:pt idx="1">
                  <c:v>106542.06583321613</c:v>
                </c:pt>
                <c:pt idx="2">
                  <c:v>132896.18635127915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419100</xdr:colOff>
      <xdr:row>28</xdr:row>
      <xdr:rowOff>76200</xdr:rowOff>
    </xdr:from>
    <xdr:to>
      <xdr:col>21</xdr:col>
      <xdr:colOff>200025</xdr:colOff>
      <xdr:row>39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77838-1A82-4AA5-A070-83B066D0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54102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285750</xdr:colOff>
      <xdr:row>0</xdr:row>
      <xdr:rowOff>0</xdr:rowOff>
    </xdr:from>
    <xdr:to>
      <xdr:col>22</xdr:col>
      <xdr:colOff>66675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A0788-F31F-428A-AFB7-348EA743D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361950</xdr:colOff>
      <xdr:row>0</xdr:row>
      <xdr:rowOff>133350</xdr:rowOff>
    </xdr:from>
    <xdr:to>
      <xdr:col>26</xdr:col>
      <xdr:colOff>142875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557B6-E7A2-4C6B-A4B9-041A0FB8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33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133350</xdr:colOff>
      <xdr:row>0</xdr:row>
      <xdr:rowOff>123825</xdr:rowOff>
    </xdr:from>
    <xdr:to>
      <xdr:col>25</xdr:col>
      <xdr:colOff>523875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BD620-DF26-4AE8-9159-43F5616AF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1238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371475</xdr:colOff>
      <xdr:row>1</xdr:row>
      <xdr:rowOff>0</xdr:rowOff>
    </xdr:from>
    <xdr:to>
      <xdr:col>26</xdr:col>
      <xdr:colOff>152400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BC101-8B6C-4A0F-9AE4-42E092DF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3</xdr:row>
      <xdr:rowOff>33336</xdr:rowOff>
    </xdr:from>
    <xdr:to>
      <xdr:col>18</xdr:col>
      <xdr:colOff>523874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133350</xdr:colOff>
      <xdr:row>3</xdr:row>
      <xdr:rowOff>47625</xdr:rowOff>
    </xdr:from>
    <xdr:to>
      <xdr:col>5</xdr:col>
      <xdr:colOff>895350</xdr:colOff>
      <xdr:row>14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504F8-D4A7-48CA-B356-3B80EDFB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6191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85725</xdr:colOff>
      <xdr:row>16</xdr:row>
      <xdr:rowOff>19050</xdr:rowOff>
    </xdr:from>
    <xdr:to>
      <xdr:col>12</xdr:col>
      <xdr:colOff>381000</xdr:colOff>
      <xdr:row>27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8D6083-A2FC-4F75-81EB-754AE9B8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0670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20</xdr:col>
      <xdr:colOff>495300</xdr:colOff>
      <xdr:row>0</xdr:row>
      <xdr:rowOff>161925</xdr:rowOff>
    </xdr:from>
    <xdr:to>
      <xdr:col>25</xdr:col>
      <xdr:colOff>276225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FB625C-8EF8-42D7-8FB1-411C87E4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350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123825</xdr:colOff>
      <xdr:row>1</xdr:row>
      <xdr:rowOff>0</xdr:rowOff>
    </xdr:from>
    <xdr:to>
      <xdr:col>23</xdr:col>
      <xdr:colOff>514350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A12A5B-BECB-4196-9D85-FC9779FC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85725</xdr:colOff>
      <xdr:row>1</xdr:row>
      <xdr:rowOff>19050</xdr:rowOff>
    </xdr:from>
    <xdr:to>
      <xdr:col>24</xdr:col>
      <xdr:colOff>476250</xdr:colOff>
      <xdr:row>12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EB7D1-3072-4F9F-9D96-B8692AD19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2095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142875</xdr:colOff>
      <xdr:row>3</xdr:row>
      <xdr:rowOff>19050</xdr:rowOff>
    </xdr:from>
    <xdr:to>
      <xdr:col>23</xdr:col>
      <xdr:colOff>533400</xdr:colOff>
      <xdr:row>14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EF6351-AE77-4EDD-B337-15DC9491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5905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</xdr:colOff>
      <xdr:row>2</xdr:row>
      <xdr:rowOff>38100</xdr:rowOff>
    </xdr:from>
    <xdr:to>
      <xdr:col>23</xdr:col>
      <xdr:colOff>476250</xdr:colOff>
      <xdr:row>13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74C65-97BF-446A-9884-0727AAFAA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6550" y="419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114300</xdr:rowOff>
    </xdr:from>
    <xdr:to>
      <xdr:col>24</xdr:col>
      <xdr:colOff>390525</xdr:colOff>
      <xdr:row>12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E1CFE-E5C3-457F-9F36-0FBF1DF86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04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S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110</v>
      </c>
      <c r="C4" s="147" t="s">
        <v>57</v>
      </c>
      <c r="D4" s="147" t="s">
        <v>10</v>
      </c>
      <c r="E4" s="147" t="s">
        <v>8</v>
      </c>
    </row>
    <row r="5" spans="2:5">
      <c r="B5" s="66" t="s">
        <v>129</v>
      </c>
      <c r="C5" s="154">
        <v>0.25</v>
      </c>
      <c r="D5" s="154">
        <v>0.75</v>
      </c>
      <c r="E5" s="154">
        <f>C5+D5</f>
        <v>1</v>
      </c>
    </row>
    <row r="6" spans="2:5">
      <c r="B6" s="66" t="s">
        <v>133</v>
      </c>
      <c r="C6" s="154">
        <v>0.95</v>
      </c>
      <c r="D6" s="154">
        <v>0.95</v>
      </c>
      <c r="E6" s="154">
        <f t="shared" ref="E6:E12" si="0">C6+D6</f>
        <v>1.9</v>
      </c>
    </row>
    <row r="7" spans="2:5">
      <c r="B7" s="66" t="s">
        <v>128</v>
      </c>
      <c r="C7" s="154">
        <v>0.35</v>
      </c>
      <c r="D7" s="154">
        <v>0.65</v>
      </c>
      <c r="E7" s="154">
        <f t="shared" si="0"/>
        <v>1</v>
      </c>
    </row>
    <row r="8" spans="2:5">
      <c r="B8" s="66" t="s">
        <v>103</v>
      </c>
      <c r="C8" s="154">
        <v>0.05</v>
      </c>
      <c r="D8" s="154">
        <v>0.95</v>
      </c>
      <c r="E8" s="154">
        <f t="shared" si="0"/>
        <v>1</v>
      </c>
    </row>
    <row r="9" spans="2:5">
      <c r="B9" s="66" t="s">
        <v>104</v>
      </c>
      <c r="C9" s="154">
        <v>0.05</v>
      </c>
      <c r="D9" s="154">
        <v>0.95</v>
      </c>
      <c r="E9" s="154">
        <f t="shared" si="0"/>
        <v>1</v>
      </c>
    </row>
    <row r="10" spans="2:5">
      <c r="B10" s="66" t="s">
        <v>105</v>
      </c>
      <c r="C10" s="154">
        <v>0.05</v>
      </c>
      <c r="D10" s="154">
        <v>0.95</v>
      </c>
      <c r="E10" s="154">
        <f t="shared" si="0"/>
        <v>1</v>
      </c>
    </row>
    <row r="11" spans="2:5">
      <c r="B11" s="66" t="s">
        <v>106</v>
      </c>
      <c r="C11" s="154">
        <v>0.05</v>
      </c>
      <c r="D11" s="154">
        <v>0.95</v>
      </c>
      <c r="E11" s="154">
        <f t="shared" si="0"/>
        <v>1</v>
      </c>
    </row>
    <row r="12" spans="2:5">
      <c r="B12" s="66" t="s">
        <v>107</v>
      </c>
      <c r="C12" s="154">
        <v>0.05</v>
      </c>
      <c r="D12" s="154">
        <v>0.95</v>
      </c>
      <c r="E12" s="154">
        <f t="shared" si="0"/>
        <v>1</v>
      </c>
    </row>
    <row r="13" spans="2:5">
      <c r="B13" s="66" t="s">
        <v>108</v>
      </c>
      <c r="C13" s="154">
        <v>0.05</v>
      </c>
      <c r="D13" s="154">
        <v>0.95</v>
      </c>
      <c r="E13" s="154">
        <f t="shared" ref="E13:E14" si="1">C13+D13</f>
        <v>1</v>
      </c>
    </row>
    <row r="14" spans="2:5">
      <c r="B14" s="66" t="s">
        <v>109</v>
      </c>
      <c r="C14" s="154">
        <v>0.05</v>
      </c>
      <c r="D14" s="154">
        <v>0.95</v>
      </c>
      <c r="E14" s="154">
        <f t="shared" si="1"/>
        <v>1</v>
      </c>
    </row>
    <row r="16" spans="2:5">
      <c r="B16" s="146"/>
      <c r="C16" s="146"/>
      <c r="D16" s="146"/>
      <c r="E16" s="146"/>
    </row>
    <row r="17" spans="2:19">
      <c r="B17" s="147" t="s">
        <v>111</v>
      </c>
      <c r="C17" s="147">
        <v>1</v>
      </c>
      <c r="D17" s="147">
        <v>2</v>
      </c>
      <c r="E17" s="147">
        <v>3</v>
      </c>
    </row>
    <row r="18" spans="2:19">
      <c r="B18" s="70" t="s">
        <v>117</v>
      </c>
      <c r="C18" s="94">
        <v>50000</v>
      </c>
      <c r="D18" s="94">
        <f>C18*1.03</f>
        <v>51500</v>
      </c>
      <c r="E18" s="94">
        <f>D18*1.03</f>
        <v>53045</v>
      </c>
    </row>
    <row r="19" spans="2:19">
      <c r="B19" s="70" t="s">
        <v>50</v>
      </c>
      <c r="C19" s="94">
        <f>'Profit and Loss Statement'!E6*0.0157</f>
        <v>18169.767</v>
      </c>
      <c r="D19" s="94">
        <f>'Profit and Loss Statement'!F6*0.0157</f>
        <v>19986.743700000003</v>
      </c>
      <c r="E19" s="94">
        <f>'Profit and Loss Statement'!G6*0.0157</f>
        <v>21985.418070000003</v>
      </c>
    </row>
    <row r="20" spans="2:19">
      <c r="B20" s="70" t="s">
        <v>120</v>
      </c>
      <c r="C20" s="94">
        <f>'Profit and Loss Statement'!E6*0.0152</f>
        <v>17591.112000000001</v>
      </c>
      <c r="D20" s="94">
        <f>'Profit and Loss Statement'!F6*0.0152</f>
        <v>19350.223200000004</v>
      </c>
      <c r="E20" s="94">
        <f>'Profit and Loss Statement'!G6*0.0152</f>
        <v>21285.245520000004</v>
      </c>
    </row>
    <row r="21" spans="2:19">
      <c r="B21" s="70" t="s">
        <v>49</v>
      </c>
      <c r="C21" s="94">
        <f>'Personnel - Editable'!H16*0.06</f>
        <v>25200</v>
      </c>
      <c r="D21" s="94">
        <f>'Personnel - Editable'!I16*0.06</f>
        <v>25956</v>
      </c>
      <c r="E21" s="94">
        <f>'Personnel - Editable'!J16*0.06</f>
        <v>26734.68</v>
      </c>
      <c r="F21" s="119"/>
      <c r="G21" s="119"/>
    </row>
    <row r="22" spans="2:19">
      <c r="B22" s="70" t="s">
        <v>118</v>
      </c>
      <c r="C22" s="94">
        <f>'Profit and Loss Statement'!E6*0.012</f>
        <v>13887.720000000001</v>
      </c>
      <c r="D22" s="94">
        <f>'Profit and Loss Statement'!F6*0.012</f>
        <v>15276.492000000004</v>
      </c>
      <c r="E22" s="94">
        <f>'Profit and Loss Statement'!G6*0.012</f>
        <v>16804.141200000005</v>
      </c>
      <c r="F22" s="1"/>
      <c r="G22" s="1"/>
    </row>
    <row r="23" spans="2:19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9">
      <c r="F24" s="1"/>
      <c r="G24" s="1"/>
    </row>
    <row r="25" spans="2:19">
      <c r="F25" s="1"/>
      <c r="G25" s="1"/>
    </row>
    <row r="30" spans="2:19">
      <c r="B30" s="148" t="s">
        <v>112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19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  <c r="S31" s="112" t="s">
        <v>135</v>
      </c>
    </row>
    <row r="32" spans="2:19">
      <c r="B32" s="66" t="str">
        <f t="shared" ref="B32:B41" si="3">B5</f>
        <v>Beverage Sales</v>
      </c>
      <c r="C32" s="94">
        <v>55000</v>
      </c>
      <c r="D32" s="94">
        <f>C32+20</f>
        <v>55020</v>
      </c>
      <c r="E32" s="94">
        <f t="shared" ref="E32:N32" si="4">D32+20</f>
        <v>55040</v>
      </c>
      <c r="F32" s="94">
        <f t="shared" si="4"/>
        <v>55060</v>
      </c>
      <c r="G32" s="94">
        <f t="shared" si="4"/>
        <v>55080</v>
      </c>
      <c r="H32" s="94">
        <f t="shared" si="4"/>
        <v>55100</v>
      </c>
      <c r="I32" s="94">
        <f t="shared" si="4"/>
        <v>55120</v>
      </c>
      <c r="J32" s="94">
        <f t="shared" si="4"/>
        <v>55140</v>
      </c>
      <c r="K32" s="94">
        <f t="shared" si="4"/>
        <v>55160</v>
      </c>
      <c r="L32" s="94">
        <f t="shared" si="4"/>
        <v>55180</v>
      </c>
      <c r="M32" s="94">
        <f t="shared" si="4"/>
        <v>55200</v>
      </c>
      <c r="N32" s="94">
        <f t="shared" si="4"/>
        <v>55220</v>
      </c>
    </row>
    <row r="33" spans="2:18">
      <c r="B33" s="66" t="str">
        <f t="shared" si="3"/>
        <v>Cover Fees</v>
      </c>
      <c r="C33" s="94">
        <f>C32*0.35</f>
        <v>19250</v>
      </c>
      <c r="D33" s="94">
        <f t="shared" ref="D33:N33" si="5">D32*0.35</f>
        <v>19257</v>
      </c>
      <c r="E33" s="94">
        <f t="shared" si="5"/>
        <v>19264</v>
      </c>
      <c r="F33" s="94">
        <f t="shared" si="5"/>
        <v>19271</v>
      </c>
      <c r="G33" s="94">
        <f t="shared" si="5"/>
        <v>19278</v>
      </c>
      <c r="H33" s="94">
        <f t="shared" si="5"/>
        <v>19285</v>
      </c>
      <c r="I33" s="94">
        <f t="shared" si="5"/>
        <v>19292</v>
      </c>
      <c r="J33" s="94">
        <f t="shared" si="5"/>
        <v>19299</v>
      </c>
      <c r="K33" s="94">
        <f t="shared" si="5"/>
        <v>19306</v>
      </c>
      <c r="L33" s="94">
        <f t="shared" si="5"/>
        <v>19313</v>
      </c>
      <c r="M33" s="94">
        <f t="shared" si="5"/>
        <v>19320</v>
      </c>
      <c r="N33" s="94">
        <f t="shared" si="5"/>
        <v>19327</v>
      </c>
    </row>
    <row r="34" spans="2:18">
      <c r="B34" s="66" t="str">
        <f t="shared" si="3"/>
        <v>Food Sales</v>
      </c>
      <c r="C34" s="94">
        <f>C32*0.4</f>
        <v>22000</v>
      </c>
      <c r="D34" s="94">
        <f t="shared" ref="D34:N34" si="6">D32*0.4</f>
        <v>22008</v>
      </c>
      <c r="E34" s="94">
        <f t="shared" si="6"/>
        <v>22016</v>
      </c>
      <c r="F34" s="94">
        <f t="shared" si="6"/>
        <v>22024</v>
      </c>
      <c r="G34" s="94">
        <f t="shared" si="6"/>
        <v>22032</v>
      </c>
      <c r="H34" s="94">
        <f t="shared" si="6"/>
        <v>22040</v>
      </c>
      <c r="I34" s="94">
        <f t="shared" si="6"/>
        <v>22048</v>
      </c>
      <c r="J34" s="94">
        <f t="shared" si="6"/>
        <v>22056</v>
      </c>
      <c r="K34" s="94">
        <f t="shared" si="6"/>
        <v>22064</v>
      </c>
      <c r="L34" s="94">
        <f t="shared" si="6"/>
        <v>22072</v>
      </c>
      <c r="M34" s="94">
        <f t="shared" si="6"/>
        <v>22080</v>
      </c>
      <c r="N34" s="94">
        <f t="shared" si="6"/>
        <v>22088</v>
      </c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R41" s="145" t="s">
        <v>139</v>
      </c>
    </row>
    <row r="42" spans="2:18">
      <c r="B42" s="152" t="s">
        <v>8</v>
      </c>
      <c r="C42" s="153">
        <f>SUM(C32:C41)</f>
        <v>96250</v>
      </c>
      <c r="D42" s="153">
        <f t="shared" ref="D42:N42" si="7">SUM(D32:D41)</f>
        <v>96285</v>
      </c>
      <c r="E42" s="153">
        <f t="shared" si="7"/>
        <v>96320</v>
      </c>
      <c r="F42" s="153">
        <f t="shared" si="7"/>
        <v>96355</v>
      </c>
      <c r="G42" s="153">
        <f t="shared" si="7"/>
        <v>96390</v>
      </c>
      <c r="H42" s="153">
        <f t="shared" si="7"/>
        <v>96425</v>
      </c>
      <c r="I42" s="153">
        <f t="shared" si="7"/>
        <v>96460</v>
      </c>
      <c r="J42" s="153">
        <f t="shared" si="7"/>
        <v>96495</v>
      </c>
      <c r="K42" s="153">
        <f t="shared" si="7"/>
        <v>96530</v>
      </c>
      <c r="L42" s="153">
        <f t="shared" si="7"/>
        <v>96565</v>
      </c>
      <c r="M42" s="153">
        <f t="shared" si="7"/>
        <v>96600</v>
      </c>
      <c r="N42" s="153">
        <f t="shared" si="7"/>
        <v>96635</v>
      </c>
    </row>
    <row r="44" spans="2:18">
      <c r="B44" s="146"/>
      <c r="C44" s="146"/>
    </row>
    <row r="45" spans="2:18">
      <c r="B45" s="147" t="s">
        <v>127</v>
      </c>
      <c r="C45" s="147"/>
    </row>
    <row r="46" spans="2:18">
      <c r="B46" s="66" t="s">
        <v>3</v>
      </c>
      <c r="C46" s="143">
        <v>0.1</v>
      </c>
    </row>
    <row r="47" spans="2:18">
      <c r="B47" s="66" t="s">
        <v>4</v>
      </c>
      <c r="C47" s="143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8">D50+1</f>
        <v>3</v>
      </c>
      <c r="F50" s="112">
        <f t="shared" si="8"/>
        <v>4</v>
      </c>
      <c r="G50" s="112">
        <f t="shared" si="8"/>
        <v>5</v>
      </c>
      <c r="H50" s="112">
        <f t="shared" si="8"/>
        <v>6</v>
      </c>
      <c r="I50" s="112">
        <f t="shared" si="8"/>
        <v>7</v>
      </c>
      <c r="J50" s="112">
        <f t="shared" si="8"/>
        <v>8</v>
      </c>
      <c r="K50" s="112">
        <f t="shared" si="8"/>
        <v>9</v>
      </c>
      <c r="L50" s="112">
        <f t="shared" si="8"/>
        <v>10</v>
      </c>
      <c r="M50" s="112">
        <f t="shared" si="8"/>
        <v>11</v>
      </c>
      <c r="N50" s="112">
        <f t="shared" si="8"/>
        <v>12</v>
      </c>
    </row>
    <row r="51" spans="2:14">
      <c r="B51" s="112" t="str">
        <f t="shared" ref="B51:B60" si="9">B32</f>
        <v>Beverage Sales</v>
      </c>
      <c r="C51" s="114">
        <f t="shared" ref="C51:N51" si="10">C32*($C$5/$E$5)</f>
        <v>13750</v>
      </c>
      <c r="D51" s="114">
        <f t="shared" si="10"/>
        <v>13755</v>
      </c>
      <c r="E51" s="114">
        <f t="shared" si="10"/>
        <v>13760</v>
      </c>
      <c r="F51" s="114">
        <f t="shared" si="10"/>
        <v>13765</v>
      </c>
      <c r="G51" s="114">
        <f t="shared" si="10"/>
        <v>13770</v>
      </c>
      <c r="H51" s="114">
        <f t="shared" si="10"/>
        <v>13775</v>
      </c>
      <c r="I51" s="114">
        <f t="shared" si="10"/>
        <v>13780</v>
      </c>
      <c r="J51" s="114">
        <f t="shared" si="10"/>
        <v>13785</v>
      </c>
      <c r="K51" s="114">
        <f t="shared" si="10"/>
        <v>13790</v>
      </c>
      <c r="L51" s="114">
        <f t="shared" si="10"/>
        <v>13795</v>
      </c>
      <c r="M51" s="114">
        <f t="shared" si="10"/>
        <v>13800</v>
      </c>
      <c r="N51" s="114">
        <f t="shared" si="10"/>
        <v>13805</v>
      </c>
    </row>
    <row r="52" spans="2:14">
      <c r="B52" s="112" t="str">
        <f t="shared" si="9"/>
        <v>Cover Fees</v>
      </c>
      <c r="C52" s="114">
        <f t="shared" ref="C52:N52" si="11">C33*($C$6/$E$6)</f>
        <v>9625</v>
      </c>
      <c r="D52" s="114">
        <f t="shared" si="11"/>
        <v>9628.5</v>
      </c>
      <c r="E52" s="114">
        <f t="shared" si="11"/>
        <v>9632</v>
      </c>
      <c r="F52" s="114">
        <f t="shared" si="11"/>
        <v>9635.5</v>
      </c>
      <c r="G52" s="114">
        <f t="shared" si="11"/>
        <v>9639</v>
      </c>
      <c r="H52" s="114">
        <f t="shared" si="11"/>
        <v>9642.5</v>
      </c>
      <c r="I52" s="114">
        <f t="shared" si="11"/>
        <v>9646</v>
      </c>
      <c r="J52" s="114">
        <f t="shared" si="11"/>
        <v>9649.5</v>
      </c>
      <c r="K52" s="114">
        <f t="shared" si="11"/>
        <v>9653</v>
      </c>
      <c r="L52" s="114">
        <f t="shared" si="11"/>
        <v>9656.5</v>
      </c>
      <c r="M52" s="114">
        <f t="shared" si="11"/>
        <v>9660</v>
      </c>
      <c r="N52" s="114">
        <f t="shared" si="11"/>
        <v>9663.5</v>
      </c>
    </row>
    <row r="53" spans="2:14">
      <c r="B53" s="112" t="str">
        <f t="shared" si="9"/>
        <v>Food Sales</v>
      </c>
      <c r="C53" s="114">
        <f t="shared" ref="C53:N53" si="12">C34*($C$7/$E$7)</f>
        <v>7699.9999999999991</v>
      </c>
      <c r="D53" s="114">
        <f t="shared" si="12"/>
        <v>7702.7999999999993</v>
      </c>
      <c r="E53" s="114">
        <f t="shared" si="12"/>
        <v>7705.5999999999995</v>
      </c>
      <c r="F53" s="114">
        <f t="shared" si="12"/>
        <v>7708.4</v>
      </c>
      <c r="G53" s="114">
        <f t="shared" si="12"/>
        <v>7711.2</v>
      </c>
      <c r="H53" s="114">
        <f t="shared" si="12"/>
        <v>7713.9999999999991</v>
      </c>
      <c r="I53" s="114">
        <f t="shared" si="12"/>
        <v>7716.7999999999993</v>
      </c>
      <c r="J53" s="114">
        <f t="shared" si="12"/>
        <v>7719.5999999999995</v>
      </c>
      <c r="K53" s="114">
        <f t="shared" si="12"/>
        <v>7722.4</v>
      </c>
      <c r="L53" s="114">
        <f t="shared" si="12"/>
        <v>7725.2</v>
      </c>
      <c r="M53" s="114">
        <f t="shared" si="12"/>
        <v>7727.9999999999991</v>
      </c>
      <c r="N53" s="114">
        <f t="shared" si="12"/>
        <v>7730.7999999999993</v>
      </c>
    </row>
    <row r="54" spans="2:14">
      <c r="B54" s="112" t="str">
        <f t="shared" si="9"/>
        <v>Item 4</v>
      </c>
      <c r="C54" s="114">
        <f t="shared" ref="C54:N54" si="13">C35*($C$8/$E$8)</f>
        <v>0</v>
      </c>
      <c r="D54" s="114">
        <f t="shared" si="13"/>
        <v>0</v>
      </c>
      <c r="E54" s="114">
        <f t="shared" si="13"/>
        <v>0</v>
      </c>
      <c r="F54" s="114">
        <f t="shared" si="13"/>
        <v>0</v>
      </c>
      <c r="G54" s="114">
        <f t="shared" si="13"/>
        <v>0</v>
      </c>
      <c r="H54" s="114">
        <f t="shared" si="13"/>
        <v>0</v>
      </c>
      <c r="I54" s="114">
        <f t="shared" si="13"/>
        <v>0</v>
      </c>
      <c r="J54" s="114">
        <f t="shared" si="13"/>
        <v>0</v>
      </c>
      <c r="K54" s="114">
        <f t="shared" si="13"/>
        <v>0</v>
      </c>
      <c r="L54" s="114">
        <f t="shared" si="13"/>
        <v>0</v>
      </c>
      <c r="M54" s="114">
        <f t="shared" si="13"/>
        <v>0</v>
      </c>
      <c r="N54" s="114">
        <f t="shared" si="13"/>
        <v>0</v>
      </c>
    </row>
    <row r="55" spans="2:14">
      <c r="B55" s="112" t="str">
        <f t="shared" si="9"/>
        <v>Item 5</v>
      </c>
      <c r="C55" s="114">
        <f t="shared" ref="C55:N55" si="14">C36*($C$9/$E$9)</f>
        <v>0</v>
      </c>
      <c r="D55" s="114">
        <f t="shared" si="14"/>
        <v>0</v>
      </c>
      <c r="E55" s="114">
        <f t="shared" si="14"/>
        <v>0</v>
      </c>
      <c r="F55" s="114">
        <f t="shared" si="14"/>
        <v>0</v>
      </c>
      <c r="G55" s="114">
        <f t="shared" si="14"/>
        <v>0</v>
      </c>
      <c r="H55" s="114">
        <f t="shared" si="14"/>
        <v>0</v>
      </c>
      <c r="I55" s="114">
        <f t="shared" si="14"/>
        <v>0</v>
      </c>
      <c r="J55" s="114">
        <f t="shared" si="14"/>
        <v>0</v>
      </c>
      <c r="K55" s="114">
        <f t="shared" si="14"/>
        <v>0</v>
      </c>
      <c r="L55" s="114">
        <f t="shared" si="14"/>
        <v>0</v>
      </c>
      <c r="M55" s="114">
        <f t="shared" si="14"/>
        <v>0</v>
      </c>
      <c r="N55" s="114">
        <f t="shared" si="14"/>
        <v>0</v>
      </c>
    </row>
    <row r="56" spans="2:14">
      <c r="B56" s="112" t="str">
        <f t="shared" si="9"/>
        <v>Item 6</v>
      </c>
      <c r="C56" s="114">
        <f t="shared" ref="C56:N56" si="15">C37*($C$10/$E$10)</f>
        <v>0</v>
      </c>
      <c r="D56" s="114">
        <f t="shared" si="15"/>
        <v>0</v>
      </c>
      <c r="E56" s="114">
        <f t="shared" si="15"/>
        <v>0</v>
      </c>
      <c r="F56" s="114">
        <f t="shared" si="15"/>
        <v>0</v>
      </c>
      <c r="G56" s="114">
        <f t="shared" si="15"/>
        <v>0</v>
      </c>
      <c r="H56" s="114">
        <f t="shared" si="15"/>
        <v>0</v>
      </c>
      <c r="I56" s="114">
        <f t="shared" si="15"/>
        <v>0</v>
      </c>
      <c r="J56" s="114">
        <f t="shared" si="15"/>
        <v>0</v>
      </c>
      <c r="K56" s="114">
        <f t="shared" si="15"/>
        <v>0</v>
      </c>
      <c r="L56" s="114">
        <f t="shared" si="15"/>
        <v>0</v>
      </c>
      <c r="M56" s="114">
        <f t="shared" si="15"/>
        <v>0</v>
      </c>
      <c r="N56" s="114">
        <f t="shared" si="15"/>
        <v>0</v>
      </c>
    </row>
    <row r="57" spans="2:14">
      <c r="B57" s="112" t="str">
        <f t="shared" si="9"/>
        <v>Item 7</v>
      </c>
      <c r="C57" s="114">
        <f t="shared" ref="C57:N57" si="16">C38*($C$11/$E$11)</f>
        <v>0</v>
      </c>
      <c r="D57" s="114">
        <f t="shared" si="16"/>
        <v>0</v>
      </c>
      <c r="E57" s="114">
        <f t="shared" si="16"/>
        <v>0</v>
      </c>
      <c r="F57" s="114">
        <f t="shared" si="16"/>
        <v>0</v>
      </c>
      <c r="G57" s="114">
        <f t="shared" si="16"/>
        <v>0</v>
      </c>
      <c r="H57" s="114">
        <f t="shared" si="16"/>
        <v>0</v>
      </c>
      <c r="I57" s="114">
        <f t="shared" si="16"/>
        <v>0</v>
      </c>
      <c r="J57" s="114">
        <f t="shared" si="16"/>
        <v>0</v>
      </c>
      <c r="K57" s="114">
        <f t="shared" si="16"/>
        <v>0</v>
      </c>
      <c r="L57" s="114">
        <f t="shared" si="16"/>
        <v>0</v>
      </c>
      <c r="M57" s="114">
        <f t="shared" si="16"/>
        <v>0</v>
      </c>
      <c r="N57" s="114">
        <f t="shared" si="16"/>
        <v>0</v>
      </c>
    </row>
    <row r="58" spans="2:14">
      <c r="B58" s="112" t="str">
        <f t="shared" si="9"/>
        <v>Item 8</v>
      </c>
      <c r="C58" s="114">
        <f t="shared" ref="C58:N58" si="17">C39*($C$12/$E$12)</f>
        <v>0</v>
      </c>
      <c r="D58" s="114">
        <f t="shared" si="17"/>
        <v>0</v>
      </c>
      <c r="E58" s="114">
        <f t="shared" si="17"/>
        <v>0</v>
      </c>
      <c r="F58" s="114">
        <f t="shared" si="17"/>
        <v>0</v>
      </c>
      <c r="G58" s="114">
        <f t="shared" si="17"/>
        <v>0</v>
      </c>
      <c r="H58" s="114">
        <f t="shared" si="17"/>
        <v>0</v>
      </c>
      <c r="I58" s="114">
        <f t="shared" si="17"/>
        <v>0</v>
      </c>
      <c r="J58" s="114">
        <f t="shared" si="17"/>
        <v>0</v>
      </c>
      <c r="K58" s="114">
        <f t="shared" si="17"/>
        <v>0</v>
      </c>
      <c r="L58" s="114">
        <f t="shared" si="17"/>
        <v>0</v>
      </c>
      <c r="M58" s="114">
        <f t="shared" si="17"/>
        <v>0</v>
      </c>
      <c r="N58" s="114">
        <f t="shared" si="17"/>
        <v>0</v>
      </c>
    </row>
    <row r="59" spans="2:14">
      <c r="B59" s="112" t="str">
        <f t="shared" si="9"/>
        <v>Item 9</v>
      </c>
      <c r="C59" s="114">
        <f t="shared" ref="C59:N59" si="18">C40*($C$13/$E$13)</f>
        <v>0</v>
      </c>
      <c r="D59" s="114">
        <f t="shared" si="18"/>
        <v>0</v>
      </c>
      <c r="E59" s="114">
        <f t="shared" si="18"/>
        <v>0</v>
      </c>
      <c r="F59" s="114">
        <f t="shared" si="18"/>
        <v>0</v>
      </c>
      <c r="G59" s="114">
        <f t="shared" si="18"/>
        <v>0</v>
      </c>
      <c r="H59" s="114">
        <f t="shared" si="18"/>
        <v>0</v>
      </c>
      <c r="I59" s="114">
        <f t="shared" si="18"/>
        <v>0</v>
      </c>
      <c r="J59" s="114">
        <f t="shared" si="18"/>
        <v>0</v>
      </c>
      <c r="K59" s="114">
        <f t="shared" si="18"/>
        <v>0</v>
      </c>
      <c r="L59" s="114">
        <f t="shared" si="18"/>
        <v>0</v>
      </c>
      <c r="M59" s="114">
        <f t="shared" si="18"/>
        <v>0</v>
      </c>
      <c r="N59" s="114">
        <f t="shared" si="18"/>
        <v>0</v>
      </c>
    </row>
    <row r="60" spans="2:14">
      <c r="B60" s="112" t="str">
        <f t="shared" si="9"/>
        <v>Item 10</v>
      </c>
      <c r="C60" s="114">
        <f t="shared" ref="C60:N60" si="19">C41*($C$14/$E$14)</f>
        <v>0</v>
      </c>
      <c r="D60" s="114">
        <f t="shared" si="19"/>
        <v>0</v>
      </c>
      <c r="E60" s="114">
        <f t="shared" si="19"/>
        <v>0</v>
      </c>
      <c r="F60" s="114">
        <f t="shared" si="19"/>
        <v>0</v>
      </c>
      <c r="G60" s="114">
        <f t="shared" si="19"/>
        <v>0</v>
      </c>
      <c r="H60" s="114">
        <f t="shared" si="19"/>
        <v>0</v>
      </c>
      <c r="I60" s="114">
        <f t="shared" si="19"/>
        <v>0</v>
      </c>
      <c r="J60" s="114">
        <f t="shared" si="19"/>
        <v>0</v>
      </c>
      <c r="K60" s="114">
        <f t="shared" si="19"/>
        <v>0</v>
      </c>
      <c r="L60" s="114">
        <f t="shared" si="19"/>
        <v>0</v>
      </c>
      <c r="M60" s="114">
        <f t="shared" si="19"/>
        <v>0</v>
      </c>
      <c r="N60" s="114">
        <f t="shared" si="19"/>
        <v>0</v>
      </c>
    </row>
    <row r="61" spans="2:14">
      <c r="B61" s="112" t="s">
        <v>8</v>
      </c>
      <c r="C61" s="114">
        <f>SUM(C51:C60)</f>
        <v>31075</v>
      </c>
      <c r="D61" s="114">
        <f t="shared" ref="D61:N61" si="20">SUM(D51:D60)</f>
        <v>31086.3</v>
      </c>
      <c r="E61" s="114">
        <f t="shared" si="20"/>
        <v>31097.599999999999</v>
      </c>
      <c r="F61" s="114">
        <f t="shared" si="20"/>
        <v>31108.9</v>
      </c>
      <c r="G61" s="114">
        <f t="shared" si="20"/>
        <v>31120.2</v>
      </c>
      <c r="H61" s="114">
        <f t="shared" si="20"/>
        <v>31131.5</v>
      </c>
      <c r="I61" s="114">
        <f t="shared" si="20"/>
        <v>31142.799999999999</v>
      </c>
      <c r="J61" s="114">
        <f t="shared" si="20"/>
        <v>31154.1</v>
      </c>
      <c r="K61" s="114">
        <f t="shared" si="20"/>
        <v>31165.4</v>
      </c>
      <c r="L61" s="114">
        <f t="shared" si="20"/>
        <v>31176.7</v>
      </c>
      <c r="M61" s="114">
        <f t="shared" si="20"/>
        <v>31188</v>
      </c>
      <c r="N61" s="114">
        <f t="shared" si="20"/>
        <v>31199.3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1">D65+1</f>
        <v>3</v>
      </c>
      <c r="F65" s="112">
        <f t="shared" si="21"/>
        <v>4</v>
      </c>
      <c r="G65" s="112">
        <f t="shared" si="21"/>
        <v>5</v>
      </c>
      <c r="H65" s="112">
        <f t="shared" si="21"/>
        <v>6</v>
      </c>
      <c r="I65" s="112">
        <f t="shared" si="21"/>
        <v>7</v>
      </c>
      <c r="J65" s="112">
        <f t="shared" si="21"/>
        <v>8</v>
      </c>
      <c r="K65" s="112">
        <f t="shared" si="21"/>
        <v>9</v>
      </c>
      <c r="L65" s="112">
        <f t="shared" si="21"/>
        <v>10</v>
      </c>
      <c r="M65" s="112">
        <f t="shared" si="21"/>
        <v>11</v>
      </c>
      <c r="N65" s="112">
        <f t="shared" si="21"/>
        <v>12</v>
      </c>
    </row>
    <row r="66" spans="2:14">
      <c r="B66" s="112" t="s">
        <v>8</v>
      </c>
      <c r="C66" s="114">
        <f t="shared" ref="C66:N66" si="22">C42-C61</f>
        <v>65175</v>
      </c>
      <c r="D66" s="114">
        <f t="shared" si="22"/>
        <v>65198.7</v>
      </c>
      <c r="E66" s="114">
        <f t="shared" si="22"/>
        <v>65222.400000000001</v>
      </c>
      <c r="F66" s="114">
        <f t="shared" si="22"/>
        <v>65246.1</v>
      </c>
      <c r="G66" s="114">
        <f t="shared" si="22"/>
        <v>65269.8</v>
      </c>
      <c r="H66" s="114">
        <f t="shared" si="22"/>
        <v>65293.5</v>
      </c>
      <c r="I66" s="114">
        <f t="shared" si="22"/>
        <v>65317.2</v>
      </c>
      <c r="J66" s="114">
        <f t="shared" si="22"/>
        <v>65340.9</v>
      </c>
      <c r="K66" s="114">
        <f t="shared" si="22"/>
        <v>65364.6</v>
      </c>
      <c r="L66" s="114">
        <f t="shared" si="22"/>
        <v>65388.3</v>
      </c>
      <c r="M66" s="114">
        <f t="shared" si="22"/>
        <v>65412</v>
      </c>
      <c r="N66" s="114">
        <f t="shared" si="22"/>
        <v>65435.7</v>
      </c>
    </row>
  </sheetData>
  <sheetProtection algorithmName="SHA-512" hashValue="GARqWxv1Gn2QcfQsGL9oHvTsZaHKi+Mdt5t7CJO38XZ/7BBgATEEPSMjQZ80+q+EdSJm9DGCsjwNs8s/Syu+yA==" saltValue="Z0xWTgvG8ip0ZZkI6tEBjw==" spinCount="100000" sheet="1" objects="1" scenarios="1" selectLockedCells="1"/>
  <hyperlinks>
    <hyperlink ref="R41" r:id="rId1" xr:uid="{87AB492E-B0C2-4B83-9749-3CDD203674F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3" sqref="R3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100000</v>
      </c>
      <c r="C5" s="55"/>
      <c r="D5" s="56" t="s">
        <v>36</v>
      </c>
      <c r="E5" s="59">
        <f>PMT(B6/B8,(B7*B8),-B5)</f>
        <v>1266.7577375024948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52010.928500299407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1266.7577375024948</v>
      </c>
      <c r="C14" s="1">
        <f>B14-D14</f>
        <v>516.75773750249482</v>
      </c>
      <c r="D14" s="1">
        <f>(B5*($B$6/$B$8))</f>
        <v>750</v>
      </c>
      <c r="E14" s="1">
        <f>B5-C14</f>
        <v>99483.242262497501</v>
      </c>
    </row>
    <row r="15" spans="1:5">
      <c r="A15">
        <f>IF(($B$7*$B$8&gt;A14),IF(($B$7*$B$8)=A14,"",A14+1),"")</f>
        <v>2</v>
      </c>
      <c r="B15" s="1">
        <f>IF(A15="","",$B$14)</f>
        <v>1266.7577375024948</v>
      </c>
      <c r="C15" s="1">
        <f>IF(A15="","",B15-D15)</f>
        <v>520.63342053376357</v>
      </c>
      <c r="D15" s="1">
        <f>IF(A15="","",(E14*($B$6/$B$8)))</f>
        <v>746.12431696873125</v>
      </c>
      <c r="E15" s="1">
        <f>IF(A15="","",E14-C15)</f>
        <v>98962.608841963738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1266.7577375024948</v>
      </c>
      <c r="C16" s="1">
        <f t="shared" ref="C16:C79" si="2">IF(A16="","",B16-D16)</f>
        <v>524.53817118776681</v>
      </c>
      <c r="D16" s="1">
        <f t="shared" ref="D16:D79" si="3">IF(A16="","",(E15*($B$6/$B$8)))</f>
        <v>742.21956631472801</v>
      </c>
      <c r="E16" s="1">
        <f t="shared" ref="E16:E79" si="4">IF(A16="","",E15-C16)</f>
        <v>98438.070670775967</v>
      </c>
    </row>
    <row r="17" spans="1:5">
      <c r="A17">
        <f t="shared" si="0"/>
        <v>4</v>
      </c>
      <c r="B17" s="1">
        <f t="shared" si="1"/>
        <v>1266.7577375024948</v>
      </c>
      <c r="C17" s="1">
        <f t="shared" si="2"/>
        <v>528.47220747167512</v>
      </c>
      <c r="D17" s="1">
        <f t="shared" si="3"/>
        <v>738.2855300308197</v>
      </c>
      <c r="E17" s="1">
        <f t="shared" si="4"/>
        <v>97909.598463304297</v>
      </c>
    </row>
    <row r="18" spans="1:5">
      <c r="A18">
        <f t="shared" si="0"/>
        <v>5</v>
      </c>
      <c r="B18" s="1">
        <f t="shared" si="1"/>
        <v>1266.7577375024948</v>
      </c>
      <c r="C18" s="1">
        <f t="shared" si="2"/>
        <v>532.43574902771263</v>
      </c>
      <c r="D18" s="1">
        <f t="shared" si="3"/>
        <v>734.32198847478219</v>
      </c>
      <c r="E18" s="1">
        <f t="shared" si="4"/>
        <v>97377.162714276579</v>
      </c>
    </row>
    <row r="19" spans="1:5">
      <c r="A19">
        <f t="shared" si="0"/>
        <v>6</v>
      </c>
      <c r="B19" s="1">
        <f t="shared" si="1"/>
        <v>1266.7577375024948</v>
      </c>
      <c r="C19" s="1">
        <f t="shared" si="2"/>
        <v>536.42901714542052</v>
      </c>
      <c r="D19" s="1">
        <f t="shared" si="3"/>
        <v>730.3287203570743</v>
      </c>
      <c r="E19" s="1">
        <f t="shared" si="4"/>
        <v>96840.73369713116</v>
      </c>
    </row>
    <row r="20" spans="1:5">
      <c r="A20">
        <f t="shared" si="0"/>
        <v>7</v>
      </c>
      <c r="B20" s="1">
        <f t="shared" si="1"/>
        <v>1266.7577375024948</v>
      </c>
      <c r="C20" s="1">
        <f t="shared" si="2"/>
        <v>540.45223477401112</v>
      </c>
      <c r="D20" s="1">
        <f t="shared" si="3"/>
        <v>726.3055027284837</v>
      </c>
      <c r="E20" s="1">
        <f t="shared" si="4"/>
        <v>96300.281462357147</v>
      </c>
    </row>
    <row r="21" spans="1:5">
      <c r="A21">
        <f t="shared" si="0"/>
        <v>8</v>
      </c>
      <c r="B21" s="1">
        <f t="shared" si="1"/>
        <v>1266.7577375024948</v>
      </c>
      <c r="C21" s="1">
        <f t="shared" si="2"/>
        <v>544.5056265348162</v>
      </c>
      <c r="D21" s="1">
        <f t="shared" si="3"/>
        <v>722.25211096767862</v>
      </c>
      <c r="E21" s="1">
        <f t="shared" si="4"/>
        <v>95755.775835822336</v>
      </c>
    </row>
    <row r="22" spans="1:5">
      <c r="A22">
        <f t="shared" si="0"/>
        <v>9</v>
      </c>
      <c r="B22" s="1">
        <f t="shared" si="1"/>
        <v>1266.7577375024948</v>
      </c>
      <c r="C22" s="1">
        <f t="shared" si="2"/>
        <v>548.5894187338273</v>
      </c>
      <c r="D22" s="1">
        <f t="shared" si="3"/>
        <v>718.16831876866752</v>
      </c>
      <c r="E22" s="1">
        <f t="shared" si="4"/>
        <v>95207.186417088509</v>
      </c>
    </row>
    <row r="23" spans="1:5">
      <c r="A23">
        <f t="shared" si="0"/>
        <v>10</v>
      </c>
      <c r="B23" s="1">
        <f t="shared" si="1"/>
        <v>1266.7577375024948</v>
      </c>
      <c r="C23" s="1">
        <f t="shared" si="2"/>
        <v>552.70383937433098</v>
      </c>
      <c r="D23" s="1">
        <f t="shared" si="3"/>
        <v>714.05389812816384</v>
      </c>
      <c r="E23" s="1">
        <f t="shared" si="4"/>
        <v>94654.482577714181</v>
      </c>
    </row>
    <row r="24" spans="1:5">
      <c r="A24">
        <f t="shared" si="0"/>
        <v>11</v>
      </c>
      <c r="B24" s="1">
        <f t="shared" si="1"/>
        <v>1266.7577375024948</v>
      </c>
      <c r="C24" s="1">
        <f t="shared" si="2"/>
        <v>556.84911816963847</v>
      </c>
      <c r="D24" s="1">
        <f t="shared" si="3"/>
        <v>709.90861933285635</v>
      </c>
      <c r="E24" s="1">
        <f t="shared" si="4"/>
        <v>94097.633459544537</v>
      </c>
    </row>
    <row r="25" spans="1:5">
      <c r="A25">
        <f t="shared" si="0"/>
        <v>12</v>
      </c>
      <c r="B25" s="1">
        <f t="shared" si="1"/>
        <v>1266.7577375024948</v>
      </c>
      <c r="C25" s="1">
        <f t="shared" si="2"/>
        <v>561.02548655591079</v>
      </c>
      <c r="D25" s="1">
        <f t="shared" si="3"/>
        <v>705.73225094658403</v>
      </c>
      <c r="E25" s="1">
        <f t="shared" si="4"/>
        <v>93536.607972988626</v>
      </c>
    </row>
    <row r="26" spans="1:5">
      <c r="A26">
        <f t="shared" si="0"/>
        <v>13</v>
      </c>
      <c r="B26" s="1">
        <f t="shared" si="1"/>
        <v>1266.7577375024948</v>
      </c>
      <c r="C26" s="1">
        <f t="shared" si="2"/>
        <v>565.23317770508015</v>
      </c>
      <c r="D26" s="1">
        <f t="shared" si="3"/>
        <v>701.52455979741467</v>
      </c>
      <c r="E26" s="1">
        <f t="shared" si="4"/>
        <v>92971.37479528354</v>
      </c>
    </row>
    <row r="27" spans="1:5">
      <c r="A27">
        <f t="shared" si="0"/>
        <v>14</v>
      </c>
      <c r="B27" s="1">
        <f t="shared" si="1"/>
        <v>1266.7577375024948</v>
      </c>
      <c r="C27" s="1">
        <f t="shared" si="2"/>
        <v>569.47242653786827</v>
      </c>
      <c r="D27" s="1">
        <f t="shared" si="3"/>
        <v>697.28531096462655</v>
      </c>
      <c r="E27" s="1">
        <f t="shared" si="4"/>
        <v>92401.902368745665</v>
      </c>
    </row>
    <row r="28" spans="1:5">
      <c r="A28">
        <f t="shared" si="0"/>
        <v>15</v>
      </c>
      <c r="B28" s="1">
        <f t="shared" si="1"/>
        <v>1266.7577375024948</v>
      </c>
      <c r="C28" s="1">
        <f t="shared" si="2"/>
        <v>573.7434697369024</v>
      </c>
      <c r="D28" s="1">
        <f t="shared" si="3"/>
        <v>693.01426776559242</v>
      </c>
      <c r="E28" s="1">
        <f t="shared" si="4"/>
        <v>91828.158899008762</v>
      </c>
    </row>
    <row r="29" spans="1:5">
      <c r="A29">
        <f t="shared" si="0"/>
        <v>16</v>
      </c>
      <c r="B29" s="1">
        <f t="shared" si="1"/>
        <v>1266.7577375024948</v>
      </c>
      <c r="C29" s="1">
        <f t="shared" si="2"/>
        <v>578.04654575992913</v>
      </c>
      <c r="D29" s="1">
        <f t="shared" si="3"/>
        <v>688.71119174256569</v>
      </c>
      <c r="E29" s="1">
        <f t="shared" si="4"/>
        <v>91250.112353248827</v>
      </c>
    </row>
    <row r="30" spans="1:5">
      <c r="A30">
        <f t="shared" si="0"/>
        <v>17</v>
      </c>
      <c r="B30" s="1">
        <f t="shared" si="1"/>
        <v>1266.7577375024948</v>
      </c>
      <c r="C30" s="1">
        <f t="shared" si="2"/>
        <v>582.38189485312864</v>
      </c>
      <c r="D30" s="1">
        <f t="shared" si="3"/>
        <v>684.37584264936618</v>
      </c>
      <c r="E30" s="1">
        <f t="shared" si="4"/>
        <v>90667.730458395701</v>
      </c>
    </row>
    <row r="31" spans="1:5">
      <c r="A31">
        <f t="shared" si="0"/>
        <v>18</v>
      </c>
      <c r="B31" s="1">
        <f t="shared" si="1"/>
        <v>1266.7577375024948</v>
      </c>
      <c r="C31" s="1">
        <f t="shared" si="2"/>
        <v>586.7497590645271</v>
      </c>
      <c r="D31" s="1">
        <f t="shared" si="3"/>
        <v>680.00797843796772</v>
      </c>
      <c r="E31" s="1">
        <f t="shared" si="4"/>
        <v>90080.980699331179</v>
      </c>
    </row>
    <row r="32" spans="1:5">
      <c r="A32">
        <f t="shared" si="0"/>
        <v>19</v>
      </c>
      <c r="B32" s="1">
        <f t="shared" si="1"/>
        <v>1266.7577375024948</v>
      </c>
      <c r="C32" s="1">
        <f t="shared" si="2"/>
        <v>591.15038225751096</v>
      </c>
      <c r="D32" s="1">
        <f t="shared" si="3"/>
        <v>675.60735524498386</v>
      </c>
      <c r="E32" s="1">
        <f t="shared" si="4"/>
        <v>89489.830317073662</v>
      </c>
    </row>
    <row r="33" spans="1:5">
      <c r="A33">
        <f t="shared" si="0"/>
        <v>20</v>
      </c>
      <c r="B33" s="1">
        <f t="shared" si="1"/>
        <v>1266.7577375024948</v>
      </c>
      <c r="C33" s="1">
        <f t="shared" si="2"/>
        <v>595.58401012444233</v>
      </c>
      <c r="D33" s="1">
        <f t="shared" si="3"/>
        <v>671.17372737805249</v>
      </c>
      <c r="E33" s="1">
        <f t="shared" si="4"/>
        <v>88894.246306949222</v>
      </c>
    </row>
    <row r="34" spans="1:5">
      <c r="A34">
        <f t="shared" si="0"/>
        <v>21</v>
      </c>
      <c r="B34" s="1">
        <f t="shared" si="1"/>
        <v>1266.7577375024948</v>
      </c>
      <c r="C34" s="1">
        <f t="shared" si="2"/>
        <v>600.05089020037565</v>
      </c>
      <c r="D34" s="1">
        <f t="shared" si="3"/>
        <v>666.70684730211917</v>
      </c>
      <c r="E34" s="1">
        <f t="shared" si="4"/>
        <v>88294.195416748844</v>
      </c>
    </row>
    <row r="35" spans="1:5">
      <c r="A35">
        <f t="shared" si="0"/>
        <v>22</v>
      </c>
      <c r="B35" s="1">
        <f t="shared" si="1"/>
        <v>1266.7577375024948</v>
      </c>
      <c r="C35" s="1">
        <f t="shared" si="2"/>
        <v>604.55127187687856</v>
      </c>
      <c r="D35" s="1">
        <f t="shared" si="3"/>
        <v>662.20646562561626</v>
      </c>
      <c r="E35" s="1">
        <f t="shared" si="4"/>
        <v>87689.644144871971</v>
      </c>
    </row>
    <row r="36" spans="1:5">
      <c r="A36">
        <f t="shared" si="0"/>
        <v>23</v>
      </c>
      <c r="B36" s="1">
        <f t="shared" si="1"/>
        <v>1266.7577375024948</v>
      </c>
      <c r="C36" s="1">
        <f t="shared" si="2"/>
        <v>609.08540641595505</v>
      </c>
      <c r="D36" s="1">
        <f t="shared" si="3"/>
        <v>657.67233108653977</v>
      </c>
      <c r="E36" s="1">
        <f t="shared" si="4"/>
        <v>87080.55873845602</v>
      </c>
    </row>
    <row r="37" spans="1:5">
      <c r="A37">
        <f t="shared" si="0"/>
        <v>24</v>
      </c>
      <c r="B37" s="1">
        <f t="shared" si="1"/>
        <v>1266.7577375024948</v>
      </c>
      <c r="C37" s="1">
        <f t="shared" si="2"/>
        <v>613.65354696407474</v>
      </c>
      <c r="D37" s="1">
        <f t="shared" si="3"/>
        <v>653.10419053842008</v>
      </c>
      <c r="E37" s="1">
        <f t="shared" si="4"/>
        <v>86466.90519149194</v>
      </c>
    </row>
    <row r="38" spans="1:5">
      <c r="A38">
        <f t="shared" si="0"/>
        <v>25</v>
      </c>
      <c r="B38" s="1">
        <f t="shared" si="1"/>
        <v>1266.7577375024948</v>
      </c>
      <c r="C38" s="1">
        <f t="shared" si="2"/>
        <v>618.25594856630528</v>
      </c>
      <c r="D38" s="1">
        <f t="shared" si="3"/>
        <v>648.50178893618954</v>
      </c>
      <c r="E38" s="1">
        <f t="shared" si="4"/>
        <v>85848.649242925632</v>
      </c>
    </row>
    <row r="39" spans="1:5">
      <c r="A39">
        <f t="shared" si="0"/>
        <v>26</v>
      </c>
      <c r="B39" s="1">
        <f t="shared" si="1"/>
        <v>1266.7577375024948</v>
      </c>
      <c r="C39" s="1">
        <f t="shared" si="2"/>
        <v>622.89286818055257</v>
      </c>
      <c r="D39" s="1">
        <f t="shared" si="3"/>
        <v>643.86486932194225</v>
      </c>
      <c r="E39" s="1">
        <f t="shared" si="4"/>
        <v>85225.756374745077</v>
      </c>
    </row>
    <row r="40" spans="1:5">
      <c r="A40">
        <f t="shared" si="0"/>
        <v>27</v>
      </c>
      <c r="B40" s="1">
        <f t="shared" si="1"/>
        <v>1266.7577375024948</v>
      </c>
      <c r="C40" s="1">
        <f t="shared" si="2"/>
        <v>627.56456469190675</v>
      </c>
      <c r="D40" s="1">
        <f t="shared" si="3"/>
        <v>639.19317281058807</v>
      </c>
      <c r="E40" s="1">
        <f t="shared" si="4"/>
        <v>84598.191810053177</v>
      </c>
    </row>
    <row r="41" spans="1:5">
      <c r="A41">
        <f t="shared" si="0"/>
        <v>28</v>
      </c>
      <c r="B41" s="1">
        <f t="shared" si="1"/>
        <v>1266.7577375024948</v>
      </c>
      <c r="C41" s="1">
        <f t="shared" si="2"/>
        <v>632.27129892709604</v>
      </c>
      <c r="D41" s="1">
        <f t="shared" si="3"/>
        <v>634.48643857539878</v>
      </c>
      <c r="E41" s="1">
        <f t="shared" si="4"/>
        <v>83965.920511126082</v>
      </c>
    </row>
    <row r="42" spans="1:5">
      <c r="A42">
        <f t="shared" si="0"/>
        <v>29</v>
      </c>
      <c r="B42" s="1">
        <f t="shared" si="1"/>
        <v>1266.7577375024948</v>
      </c>
      <c r="C42" s="1">
        <f t="shared" si="2"/>
        <v>637.01333366904919</v>
      </c>
      <c r="D42" s="1">
        <f t="shared" si="3"/>
        <v>629.74440383344563</v>
      </c>
      <c r="E42" s="1">
        <f t="shared" si="4"/>
        <v>83328.907177457033</v>
      </c>
    </row>
    <row r="43" spans="1:5">
      <c r="A43">
        <f t="shared" si="0"/>
        <v>30</v>
      </c>
      <c r="B43" s="1">
        <f t="shared" si="1"/>
        <v>1266.7577375024948</v>
      </c>
      <c r="C43" s="1">
        <f t="shared" si="2"/>
        <v>641.79093367156713</v>
      </c>
      <c r="D43" s="1">
        <f t="shared" si="3"/>
        <v>624.96680383092769</v>
      </c>
      <c r="E43" s="1">
        <f t="shared" si="4"/>
        <v>82687.116243785465</v>
      </c>
    </row>
    <row r="44" spans="1:5">
      <c r="A44">
        <f t="shared" si="0"/>
        <v>31</v>
      </c>
      <c r="B44" s="1">
        <f t="shared" si="1"/>
        <v>1266.7577375024948</v>
      </c>
      <c r="C44" s="1">
        <f t="shared" si="2"/>
        <v>646.60436567410386</v>
      </c>
      <c r="D44" s="1">
        <f t="shared" si="3"/>
        <v>620.15337182839096</v>
      </c>
      <c r="E44" s="1">
        <f t="shared" si="4"/>
        <v>82040.511878111356</v>
      </c>
    </row>
    <row r="45" spans="1:5">
      <c r="A45">
        <f t="shared" si="0"/>
        <v>32</v>
      </c>
      <c r="B45" s="1">
        <f t="shared" si="1"/>
        <v>1266.7577375024948</v>
      </c>
      <c r="C45" s="1">
        <f t="shared" si="2"/>
        <v>651.45389841665963</v>
      </c>
      <c r="D45" s="1">
        <f t="shared" si="3"/>
        <v>615.30383908583519</v>
      </c>
      <c r="E45" s="1">
        <f t="shared" si="4"/>
        <v>81389.057979694699</v>
      </c>
    </row>
    <row r="46" spans="1:5">
      <c r="A46">
        <f t="shared" si="0"/>
        <v>33</v>
      </c>
      <c r="B46" s="1">
        <f t="shared" si="1"/>
        <v>1266.7577375024948</v>
      </c>
      <c r="C46" s="1">
        <f t="shared" si="2"/>
        <v>656.33980265478465</v>
      </c>
      <c r="D46" s="1">
        <f t="shared" si="3"/>
        <v>610.41793484771017</v>
      </c>
      <c r="E46" s="1">
        <f t="shared" si="4"/>
        <v>80732.718177039918</v>
      </c>
    </row>
    <row r="47" spans="1:5">
      <c r="A47">
        <f t="shared" si="0"/>
        <v>34</v>
      </c>
      <c r="B47" s="1">
        <f t="shared" si="1"/>
        <v>1266.7577375024948</v>
      </c>
      <c r="C47" s="1">
        <f t="shared" si="2"/>
        <v>661.26235117469548</v>
      </c>
      <c r="D47" s="1">
        <f t="shared" si="3"/>
        <v>605.49538632779934</v>
      </c>
      <c r="E47" s="1">
        <f t="shared" si="4"/>
        <v>80071.455825865225</v>
      </c>
    </row>
    <row r="48" spans="1:5">
      <c r="A48">
        <f t="shared" si="0"/>
        <v>35</v>
      </c>
      <c r="B48" s="1">
        <f t="shared" si="1"/>
        <v>1266.7577375024948</v>
      </c>
      <c r="C48" s="1">
        <f t="shared" si="2"/>
        <v>666.22181880850565</v>
      </c>
      <c r="D48" s="1">
        <f t="shared" si="3"/>
        <v>600.53591869398917</v>
      </c>
      <c r="E48" s="1">
        <f t="shared" si="4"/>
        <v>79405.234007056715</v>
      </c>
    </row>
    <row r="49" spans="1:5">
      <c r="A49">
        <f t="shared" si="0"/>
        <v>36</v>
      </c>
      <c r="B49" s="1">
        <f t="shared" si="1"/>
        <v>1266.7577375024948</v>
      </c>
      <c r="C49" s="1">
        <f t="shared" si="2"/>
        <v>671.21848244956948</v>
      </c>
      <c r="D49" s="1">
        <f t="shared" si="3"/>
        <v>595.53925505292534</v>
      </c>
      <c r="E49" s="1">
        <f t="shared" si="4"/>
        <v>78734.015524607152</v>
      </c>
    </row>
    <row r="50" spans="1:5">
      <c r="A50">
        <f t="shared" si="0"/>
        <v>37</v>
      </c>
      <c r="B50" s="1">
        <f t="shared" si="1"/>
        <v>1266.7577375024948</v>
      </c>
      <c r="C50" s="1">
        <f t="shared" si="2"/>
        <v>676.25262106794116</v>
      </c>
      <c r="D50" s="1">
        <f t="shared" si="3"/>
        <v>590.50511643455366</v>
      </c>
      <c r="E50" s="1">
        <f t="shared" si="4"/>
        <v>78057.762903539216</v>
      </c>
    </row>
    <row r="51" spans="1:5">
      <c r="A51">
        <f t="shared" si="0"/>
        <v>38</v>
      </c>
      <c r="B51" s="1">
        <f t="shared" si="1"/>
        <v>1266.7577375024948</v>
      </c>
      <c r="C51" s="1">
        <f t="shared" si="2"/>
        <v>681.32451572595073</v>
      </c>
      <c r="D51" s="1">
        <f t="shared" si="3"/>
        <v>585.43322177654409</v>
      </c>
      <c r="E51" s="1">
        <f t="shared" si="4"/>
        <v>77376.438387813265</v>
      </c>
    </row>
    <row r="52" spans="1:5">
      <c r="A52">
        <f t="shared" si="0"/>
        <v>39</v>
      </c>
      <c r="B52" s="1">
        <f t="shared" si="1"/>
        <v>1266.7577375024948</v>
      </c>
      <c r="C52" s="1">
        <f t="shared" si="2"/>
        <v>686.43444959389535</v>
      </c>
      <c r="D52" s="1">
        <f t="shared" si="3"/>
        <v>580.32328790859947</v>
      </c>
      <c r="E52" s="1">
        <f t="shared" si="4"/>
        <v>76690.003938219364</v>
      </c>
    </row>
    <row r="53" spans="1:5">
      <c r="A53">
        <f t="shared" si="0"/>
        <v>40</v>
      </c>
      <c r="B53" s="1">
        <f t="shared" si="1"/>
        <v>1266.7577375024948</v>
      </c>
      <c r="C53" s="1">
        <f t="shared" si="2"/>
        <v>691.58270796584964</v>
      </c>
      <c r="D53" s="1">
        <f t="shared" si="3"/>
        <v>575.17502953664518</v>
      </c>
      <c r="E53" s="1">
        <f t="shared" si="4"/>
        <v>75998.421230253516</v>
      </c>
    </row>
    <row r="54" spans="1:5">
      <c r="A54">
        <f t="shared" si="0"/>
        <v>41</v>
      </c>
      <c r="B54" s="1">
        <f t="shared" si="1"/>
        <v>1266.7577375024948</v>
      </c>
      <c r="C54" s="1">
        <f t="shared" si="2"/>
        <v>696.76957827559352</v>
      </c>
      <c r="D54" s="1">
        <f t="shared" si="3"/>
        <v>569.9881592269013</v>
      </c>
      <c r="E54" s="1">
        <f t="shared" si="4"/>
        <v>75301.651651977925</v>
      </c>
    </row>
    <row r="55" spans="1:5">
      <c r="A55">
        <f t="shared" si="0"/>
        <v>42</v>
      </c>
      <c r="B55" s="1">
        <f t="shared" si="1"/>
        <v>1266.7577375024948</v>
      </c>
      <c r="C55" s="1">
        <f t="shared" si="2"/>
        <v>701.99535011266039</v>
      </c>
      <c r="D55" s="1">
        <f t="shared" si="3"/>
        <v>564.76238738983443</v>
      </c>
      <c r="E55" s="1">
        <f t="shared" si="4"/>
        <v>74599.656301865267</v>
      </c>
    </row>
    <row r="56" spans="1:5">
      <c r="A56">
        <f t="shared" si="0"/>
        <v>43</v>
      </c>
      <c r="B56" s="1">
        <f t="shared" si="1"/>
        <v>1266.7577375024948</v>
      </c>
      <c r="C56" s="1">
        <f t="shared" si="2"/>
        <v>707.26031523850531</v>
      </c>
      <c r="D56" s="1">
        <f t="shared" si="3"/>
        <v>559.49742226398951</v>
      </c>
      <c r="E56" s="1">
        <f t="shared" si="4"/>
        <v>73892.395986626769</v>
      </c>
    </row>
    <row r="57" spans="1:5">
      <c r="A57">
        <f t="shared" si="0"/>
        <v>44</v>
      </c>
      <c r="B57" s="1">
        <f t="shared" si="1"/>
        <v>1266.7577375024948</v>
      </c>
      <c r="C57" s="1">
        <f t="shared" si="2"/>
        <v>712.56476760279406</v>
      </c>
      <c r="D57" s="1">
        <f t="shared" si="3"/>
        <v>554.19296989970076</v>
      </c>
      <c r="E57" s="1">
        <f t="shared" si="4"/>
        <v>73179.831219023981</v>
      </c>
    </row>
    <row r="58" spans="1:5">
      <c r="A58">
        <f t="shared" si="0"/>
        <v>45</v>
      </c>
      <c r="B58" s="1">
        <f t="shared" si="1"/>
        <v>1266.7577375024948</v>
      </c>
      <c r="C58" s="1">
        <f t="shared" si="2"/>
        <v>717.90900335981496</v>
      </c>
      <c r="D58" s="1">
        <f t="shared" si="3"/>
        <v>548.84873414267986</v>
      </c>
      <c r="E58" s="1">
        <f t="shared" si="4"/>
        <v>72461.922215664163</v>
      </c>
    </row>
    <row r="59" spans="1:5">
      <c r="A59">
        <f t="shared" si="0"/>
        <v>46</v>
      </c>
      <c r="B59" s="1">
        <f t="shared" si="1"/>
        <v>1266.7577375024948</v>
      </c>
      <c r="C59" s="1">
        <f t="shared" si="2"/>
        <v>723.2933208850136</v>
      </c>
      <c r="D59" s="1">
        <f t="shared" si="3"/>
        <v>543.46441661748122</v>
      </c>
      <c r="E59" s="1">
        <f t="shared" si="4"/>
        <v>71738.628894779147</v>
      </c>
    </row>
    <row r="60" spans="1:5">
      <c r="A60">
        <f t="shared" si="0"/>
        <v>47</v>
      </c>
      <c r="B60" s="1">
        <f t="shared" si="1"/>
        <v>1266.7577375024948</v>
      </c>
      <c r="C60" s="1">
        <f t="shared" si="2"/>
        <v>728.71802079165127</v>
      </c>
      <c r="D60" s="1">
        <f t="shared" si="3"/>
        <v>538.03971671084355</v>
      </c>
      <c r="E60" s="1">
        <f t="shared" si="4"/>
        <v>71009.910873987494</v>
      </c>
    </row>
    <row r="61" spans="1:5">
      <c r="A61">
        <f t="shared" si="0"/>
        <v>48</v>
      </c>
      <c r="B61" s="1">
        <f t="shared" si="1"/>
        <v>1266.7577375024948</v>
      </c>
      <c r="C61" s="1">
        <f t="shared" si="2"/>
        <v>734.18340594758865</v>
      </c>
      <c r="D61" s="1">
        <f t="shared" si="3"/>
        <v>532.57433155490617</v>
      </c>
      <c r="E61" s="1">
        <f t="shared" si="4"/>
        <v>70275.727468039899</v>
      </c>
    </row>
    <row r="62" spans="1:5">
      <c r="A62">
        <f t="shared" si="0"/>
        <v>49</v>
      </c>
      <c r="B62" s="1">
        <f t="shared" si="1"/>
        <v>1266.7577375024948</v>
      </c>
      <c r="C62" s="1">
        <f t="shared" si="2"/>
        <v>739.68978149219561</v>
      </c>
      <c r="D62" s="1">
        <f t="shared" si="3"/>
        <v>527.06795601029921</v>
      </c>
      <c r="E62" s="1">
        <f t="shared" si="4"/>
        <v>69536.037686547701</v>
      </c>
    </row>
    <row r="63" spans="1:5">
      <c r="A63">
        <f t="shared" si="0"/>
        <v>50</v>
      </c>
      <c r="B63" s="1">
        <f t="shared" si="1"/>
        <v>1266.7577375024948</v>
      </c>
      <c r="C63" s="1">
        <f t="shared" si="2"/>
        <v>745.23745485338713</v>
      </c>
      <c r="D63" s="1">
        <f t="shared" si="3"/>
        <v>521.52028264910768</v>
      </c>
      <c r="E63" s="1">
        <f t="shared" si="4"/>
        <v>68790.800231694317</v>
      </c>
    </row>
    <row r="64" spans="1:5">
      <c r="A64">
        <f t="shared" si="0"/>
        <v>51</v>
      </c>
      <c r="B64" s="1">
        <f t="shared" si="1"/>
        <v>1266.7577375024948</v>
      </c>
      <c r="C64" s="1">
        <f t="shared" si="2"/>
        <v>750.82673576478749</v>
      </c>
      <c r="D64" s="1">
        <f t="shared" si="3"/>
        <v>515.93100173770733</v>
      </c>
      <c r="E64" s="1">
        <f t="shared" si="4"/>
        <v>68039.973495929531</v>
      </c>
    </row>
    <row r="65" spans="1:5">
      <c r="A65">
        <f t="shared" si="0"/>
        <v>52</v>
      </c>
      <c r="B65" s="1">
        <f t="shared" si="1"/>
        <v>1266.7577375024948</v>
      </c>
      <c r="C65" s="1">
        <f t="shared" si="2"/>
        <v>756.4579362830234</v>
      </c>
      <c r="D65" s="1">
        <f t="shared" si="3"/>
        <v>510.29980121947148</v>
      </c>
      <c r="E65" s="1">
        <f t="shared" si="4"/>
        <v>67283.515559646505</v>
      </c>
    </row>
    <row r="66" spans="1:5">
      <c r="A66">
        <f t="shared" si="0"/>
        <v>53</v>
      </c>
      <c r="B66" s="1">
        <f t="shared" si="1"/>
        <v>1266.7577375024948</v>
      </c>
      <c r="C66" s="1">
        <f t="shared" si="2"/>
        <v>762.13137080514605</v>
      </c>
      <c r="D66" s="1">
        <f t="shared" si="3"/>
        <v>504.62636669734877</v>
      </c>
      <c r="E66" s="1">
        <f t="shared" si="4"/>
        <v>66521.384188841359</v>
      </c>
    </row>
    <row r="67" spans="1:5">
      <c r="A67">
        <f t="shared" si="0"/>
        <v>54</v>
      </c>
      <c r="B67" s="1">
        <f t="shared" si="1"/>
        <v>1266.7577375024948</v>
      </c>
      <c r="C67" s="1">
        <f t="shared" si="2"/>
        <v>767.84735608618462</v>
      </c>
      <c r="D67" s="1">
        <f t="shared" si="3"/>
        <v>498.9103814163102</v>
      </c>
      <c r="E67" s="1">
        <f t="shared" si="4"/>
        <v>65753.53683275517</v>
      </c>
    </row>
    <row r="68" spans="1:5">
      <c r="A68">
        <f t="shared" si="0"/>
        <v>55</v>
      </c>
      <c r="B68" s="1">
        <f t="shared" si="1"/>
        <v>1266.7577375024948</v>
      </c>
      <c r="C68" s="1">
        <f t="shared" si="2"/>
        <v>773.6062112568311</v>
      </c>
      <c r="D68" s="1">
        <f t="shared" si="3"/>
        <v>493.15152624566377</v>
      </c>
      <c r="E68" s="1">
        <f t="shared" si="4"/>
        <v>64979.930621498337</v>
      </c>
    </row>
    <row r="69" spans="1:5">
      <c r="A69">
        <f t="shared" si="0"/>
        <v>56</v>
      </c>
      <c r="B69" s="1">
        <f t="shared" si="1"/>
        <v>1266.7577375024948</v>
      </c>
      <c r="C69" s="1">
        <f t="shared" si="2"/>
        <v>779.4082578412573</v>
      </c>
      <c r="D69" s="1">
        <f t="shared" si="3"/>
        <v>487.34947966123752</v>
      </c>
      <c r="E69" s="1">
        <f t="shared" si="4"/>
        <v>64200.522363657081</v>
      </c>
    </row>
    <row r="70" spans="1:5">
      <c r="A70">
        <f t="shared" si="0"/>
        <v>57</v>
      </c>
      <c r="B70" s="1">
        <f t="shared" si="1"/>
        <v>1266.7577375024948</v>
      </c>
      <c r="C70" s="1">
        <f t="shared" si="2"/>
        <v>785.25381977506675</v>
      </c>
      <c r="D70" s="1">
        <f t="shared" si="3"/>
        <v>481.50391772742807</v>
      </c>
      <c r="E70" s="1">
        <f t="shared" si="4"/>
        <v>63415.268543882012</v>
      </c>
    </row>
    <row r="71" spans="1:5">
      <c r="A71">
        <f t="shared" si="0"/>
        <v>58</v>
      </c>
      <c r="B71" s="1">
        <f t="shared" si="1"/>
        <v>1266.7577375024948</v>
      </c>
      <c r="C71" s="1">
        <f t="shared" si="2"/>
        <v>791.14322342337982</v>
      </c>
      <c r="D71" s="1">
        <f t="shared" si="3"/>
        <v>475.61451407911505</v>
      </c>
      <c r="E71" s="1">
        <f t="shared" si="4"/>
        <v>62624.125320458632</v>
      </c>
    </row>
    <row r="72" spans="1:5">
      <c r="A72">
        <f t="shared" si="0"/>
        <v>59</v>
      </c>
      <c r="B72" s="1">
        <f t="shared" si="1"/>
        <v>1266.7577375024948</v>
      </c>
      <c r="C72" s="1">
        <f t="shared" si="2"/>
        <v>797.07679759905511</v>
      </c>
      <c r="D72" s="1">
        <f t="shared" si="3"/>
        <v>469.68093990343971</v>
      </c>
      <c r="E72" s="1">
        <f t="shared" si="4"/>
        <v>61827.048522859579</v>
      </c>
    </row>
    <row r="73" spans="1:5">
      <c r="A73">
        <f t="shared" si="0"/>
        <v>60</v>
      </c>
      <c r="B73" s="1">
        <f t="shared" si="1"/>
        <v>1266.7577375024948</v>
      </c>
      <c r="C73" s="1">
        <f t="shared" si="2"/>
        <v>803.05487358104801</v>
      </c>
      <c r="D73" s="1">
        <f t="shared" si="3"/>
        <v>463.70286392144681</v>
      </c>
      <c r="E73" s="1">
        <f t="shared" si="4"/>
        <v>61023.993649278535</v>
      </c>
    </row>
    <row r="74" spans="1:5">
      <c r="A74">
        <f t="shared" si="0"/>
        <v>61</v>
      </c>
      <c r="B74" s="1">
        <f t="shared" si="1"/>
        <v>1266.7577375024948</v>
      </c>
      <c r="C74" s="1">
        <f t="shared" si="2"/>
        <v>809.07778513290577</v>
      </c>
      <c r="D74" s="1">
        <f t="shared" si="3"/>
        <v>457.67995236958899</v>
      </c>
      <c r="E74" s="1">
        <f t="shared" si="4"/>
        <v>60214.915864145631</v>
      </c>
    </row>
    <row r="75" spans="1:5">
      <c r="A75">
        <f t="shared" si="0"/>
        <v>62</v>
      </c>
      <c r="B75" s="1">
        <f t="shared" si="1"/>
        <v>1266.7577375024948</v>
      </c>
      <c r="C75" s="1">
        <f t="shared" si="2"/>
        <v>815.14586852140269</v>
      </c>
      <c r="D75" s="1">
        <f t="shared" si="3"/>
        <v>451.61186898109219</v>
      </c>
      <c r="E75" s="1">
        <f t="shared" si="4"/>
        <v>59399.769995624229</v>
      </c>
    </row>
    <row r="76" spans="1:5">
      <c r="A76">
        <f t="shared" si="0"/>
        <v>63</v>
      </c>
      <c r="B76" s="1">
        <f t="shared" si="1"/>
        <v>1266.7577375024948</v>
      </c>
      <c r="C76" s="1">
        <f t="shared" si="2"/>
        <v>821.25946253531311</v>
      </c>
      <c r="D76" s="1">
        <f t="shared" si="3"/>
        <v>445.49827496718171</v>
      </c>
      <c r="E76" s="1">
        <f t="shared" si="4"/>
        <v>58578.510533088913</v>
      </c>
    </row>
    <row r="77" spans="1:5">
      <c r="A77">
        <f t="shared" si="0"/>
        <v>64</v>
      </c>
      <c r="B77" s="1">
        <f t="shared" si="1"/>
        <v>1266.7577375024948</v>
      </c>
      <c r="C77" s="1">
        <f t="shared" si="2"/>
        <v>827.41890850432799</v>
      </c>
      <c r="D77" s="1">
        <f t="shared" si="3"/>
        <v>439.33882899816683</v>
      </c>
      <c r="E77" s="1">
        <f t="shared" si="4"/>
        <v>57751.091624584587</v>
      </c>
    </row>
    <row r="78" spans="1:5">
      <c r="A78">
        <f t="shared" si="0"/>
        <v>65</v>
      </c>
      <c r="B78" s="1">
        <f t="shared" si="1"/>
        <v>1266.7577375024948</v>
      </c>
      <c r="C78" s="1">
        <f t="shared" si="2"/>
        <v>833.62455031811044</v>
      </c>
      <c r="D78" s="1">
        <f t="shared" si="3"/>
        <v>433.13318718438438</v>
      </c>
      <c r="E78" s="1">
        <f t="shared" si="4"/>
        <v>56917.467074266475</v>
      </c>
    </row>
    <row r="79" spans="1:5">
      <c r="A79">
        <f t="shared" si="0"/>
        <v>66</v>
      </c>
      <c r="B79" s="1">
        <f t="shared" si="1"/>
        <v>1266.7577375024948</v>
      </c>
      <c r="C79" s="1">
        <f t="shared" si="2"/>
        <v>839.87673444549625</v>
      </c>
      <c r="D79" s="1">
        <f t="shared" si="3"/>
        <v>426.88100305699857</v>
      </c>
      <c r="E79" s="1">
        <f t="shared" si="4"/>
        <v>56077.590339820978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1266.7577375024948</v>
      </c>
      <c r="C80" s="1">
        <f t="shared" ref="C80:C143" si="7">IF(A80="","",B80-D80)</f>
        <v>846.17580995383753</v>
      </c>
      <c r="D80" s="1">
        <f t="shared" ref="D80:D143" si="8">IF(A80="","",(E79*($B$6/$B$8)))</f>
        <v>420.58192754865729</v>
      </c>
      <c r="E80" s="1">
        <f t="shared" ref="E80:E143" si="9">IF(A80="","",E79-C80)</f>
        <v>55231.414529867143</v>
      </c>
    </row>
    <row r="81" spans="1:5">
      <c r="A81">
        <f t="shared" si="5"/>
        <v>68</v>
      </c>
      <c r="B81" s="1">
        <f t="shared" si="6"/>
        <v>1266.7577375024948</v>
      </c>
      <c r="C81" s="1">
        <f t="shared" si="7"/>
        <v>852.52212852849129</v>
      </c>
      <c r="D81" s="1">
        <f t="shared" si="8"/>
        <v>414.23560897400358</v>
      </c>
      <c r="E81" s="1">
        <f t="shared" si="9"/>
        <v>54378.89240133865</v>
      </c>
    </row>
    <row r="82" spans="1:5">
      <c r="A82">
        <f t="shared" si="5"/>
        <v>69</v>
      </c>
      <c r="B82" s="1">
        <f t="shared" si="6"/>
        <v>1266.7577375024948</v>
      </c>
      <c r="C82" s="1">
        <f t="shared" si="7"/>
        <v>858.91604449245494</v>
      </c>
      <c r="D82" s="1">
        <f t="shared" si="8"/>
        <v>407.84169301003988</v>
      </c>
      <c r="E82" s="1">
        <f t="shared" si="9"/>
        <v>53519.976356846193</v>
      </c>
    </row>
    <row r="83" spans="1:5">
      <c r="A83">
        <f t="shared" si="5"/>
        <v>70</v>
      </c>
      <c r="B83" s="1">
        <f t="shared" si="6"/>
        <v>1266.7577375024948</v>
      </c>
      <c r="C83" s="1">
        <f t="shared" si="7"/>
        <v>865.35791482614832</v>
      </c>
      <c r="D83" s="1">
        <f t="shared" si="8"/>
        <v>401.39982267634645</v>
      </c>
      <c r="E83" s="1">
        <f t="shared" si="9"/>
        <v>52654.618442020044</v>
      </c>
    </row>
    <row r="84" spans="1:5">
      <c r="A84">
        <f t="shared" si="5"/>
        <v>71</v>
      </c>
      <c r="B84" s="1">
        <f t="shared" si="6"/>
        <v>1266.7577375024948</v>
      </c>
      <c r="C84" s="1">
        <f t="shared" si="7"/>
        <v>871.84809918734447</v>
      </c>
      <c r="D84" s="1">
        <f t="shared" si="8"/>
        <v>394.90963831515035</v>
      </c>
      <c r="E84" s="1">
        <f t="shared" si="9"/>
        <v>51782.7703428327</v>
      </c>
    </row>
    <row r="85" spans="1:5">
      <c r="A85">
        <f t="shared" si="5"/>
        <v>72</v>
      </c>
      <c r="B85" s="1">
        <f t="shared" si="6"/>
        <v>1266.7577375024948</v>
      </c>
      <c r="C85" s="1">
        <f t="shared" si="7"/>
        <v>878.38695993124952</v>
      </c>
      <c r="D85" s="1">
        <f t="shared" si="8"/>
        <v>388.37077757124524</v>
      </c>
      <c r="E85" s="1">
        <f t="shared" si="9"/>
        <v>50904.383382901447</v>
      </c>
    </row>
    <row r="86" spans="1:5">
      <c r="A86">
        <f t="shared" si="5"/>
        <v>73</v>
      </c>
      <c r="B86" s="1">
        <f t="shared" si="6"/>
        <v>1266.7577375024948</v>
      </c>
      <c r="C86" s="1">
        <f t="shared" si="7"/>
        <v>884.97486213073398</v>
      </c>
      <c r="D86" s="1">
        <f t="shared" si="8"/>
        <v>381.78287537176084</v>
      </c>
      <c r="E86" s="1">
        <f t="shared" si="9"/>
        <v>50019.40852077071</v>
      </c>
    </row>
    <row r="87" spans="1:5">
      <c r="A87">
        <f t="shared" si="5"/>
        <v>74</v>
      </c>
      <c r="B87" s="1">
        <f t="shared" si="6"/>
        <v>1266.7577375024948</v>
      </c>
      <c r="C87" s="1">
        <f t="shared" si="7"/>
        <v>891.61217359671446</v>
      </c>
      <c r="D87" s="1">
        <f t="shared" si="8"/>
        <v>375.14556390578031</v>
      </c>
      <c r="E87" s="1">
        <f t="shared" si="9"/>
        <v>49127.796347173993</v>
      </c>
    </row>
    <row r="88" spans="1:5">
      <c r="A88">
        <f t="shared" si="5"/>
        <v>75</v>
      </c>
      <c r="B88" s="1">
        <f t="shared" si="6"/>
        <v>1266.7577375024948</v>
      </c>
      <c r="C88" s="1">
        <f t="shared" si="7"/>
        <v>898.2992648986899</v>
      </c>
      <c r="D88" s="1">
        <f t="shared" si="8"/>
        <v>368.45847260380492</v>
      </c>
      <c r="E88" s="1">
        <f t="shared" si="9"/>
        <v>48229.497082275302</v>
      </c>
    </row>
    <row r="89" spans="1:5">
      <c r="A89">
        <f t="shared" si="5"/>
        <v>76</v>
      </c>
      <c r="B89" s="1">
        <f t="shared" si="6"/>
        <v>1266.7577375024948</v>
      </c>
      <c r="C89" s="1">
        <f t="shared" si="7"/>
        <v>905.03650938543001</v>
      </c>
      <c r="D89" s="1">
        <f t="shared" si="8"/>
        <v>361.72122811706475</v>
      </c>
      <c r="E89" s="1">
        <f t="shared" si="9"/>
        <v>47324.460572889875</v>
      </c>
    </row>
    <row r="90" spans="1:5">
      <c r="A90">
        <f t="shared" si="5"/>
        <v>77</v>
      </c>
      <c r="B90" s="1">
        <f t="shared" si="6"/>
        <v>1266.7577375024948</v>
      </c>
      <c r="C90" s="1">
        <f t="shared" si="7"/>
        <v>911.82428320582085</v>
      </c>
      <c r="D90" s="1">
        <f t="shared" si="8"/>
        <v>354.93345429667403</v>
      </c>
      <c r="E90" s="1">
        <f t="shared" si="9"/>
        <v>46412.636289684051</v>
      </c>
    </row>
    <row r="91" spans="1:5">
      <c r="A91">
        <f t="shared" si="5"/>
        <v>78</v>
      </c>
      <c r="B91" s="1">
        <f t="shared" si="6"/>
        <v>1266.7577375024948</v>
      </c>
      <c r="C91" s="1">
        <f t="shared" si="7"/>
        <v>918.66296532986439</v>
      </c>
      <c r="D91" s="1">
        <f t="shared" si="8"/>
        <v>348.09477217263037</v>
      </c>
      <c r="E91" s="1">
        <f t="shared" si="9"/>
        <v>45493.973324354185</v>
      </c>
    </row>
    <row r="92" spans="1:5">
      <c r="A92">
        <f t="shared" si="5"/>
        <v>79</v>
      </c>
      <c r="B92" s="1">
        <f t="shared" si="6"/>
        <v>1266.7577375024948</v>
      </c>
      <c r="C92" s="1">
        <f t="shared" si="7"/>
        <v>925.55293756983838</v>
      </c>
      <c r="D92" s="1">
        <f t="shared" si="8"/>
        <v>341.20479993265639</v>
      </c>
      <c r="E92" s="1">
        <f t="shared" si="9"/>
        <v>44568.420386784346</v>
      </c>
    </row>
    <row r="93" spans="1:5">
      <c r="A93">
        <f t="shared" si="5"/>
        <v>80</v>
      </c>
      <c r="B93" s="1">
        <f t="shared" si="6"/>
        <v>1266.7577375024948</v>
      </c>
      <c r="C93" s="1">
        <f t="shared" si="7"/>
        <v>932.49458460161225</v>
      </c>
      <c r="D93" s="1">
        <f t="shared" si="8"/>
        <v>334.26315290088257</v>
      </c>
      <c r="E93" s="1">
        <f t="shared" si="9"/>
        <v>43635.925802182734</v>
      </c>
    </row>
    <row r="94" spans="1:5">
      <c r="A94">
        <f t="shared" si="5"/>
        <v>81</v>
      </c>
      <c r="B94" s="1">
        <f t="shared" si="6"/>
        <v>1266.7577375024948</v>
      </c>
      <c r="C94" s="1">
        <f t="shared" si="7"/>
        <v>939.48829398612429</v>
      </c>
      <c r="D94" s="1">
        <f t="shared" si="8"/>
        <v>327.26944351637047</v>
      </c>
      <c r="E94" s="1">
        <f t="shared" si="9"/>
        <v>42696.437508196606</v>
      </c>
    </row>
    <row r="95" spans="1:5">
      <c r="A95">
        <f t="shared" si="5"/>
        <v>82</v>
      </c>
      <c r="B95" s="1">
        <f t="shared" si="6"/>
        <v>1266.7577375024948</v>
      </c>
      <c r="C95" s="1">
        <f t="shared" si="7"/>
        <v>946.53445619102035</v>
      </c>
      <c r="D95" s="1">
        <f t="shared" si="8"/>
        <v>320.22328131147452</v>
      </c>
      <c r="E95" s="1">
        <f t="shared" si="9"/>
        <v>41749.903052005589</v>
      </c>
    </row>
    <row r="96" spans="1:5">
      <c r="A96">
        <f t="shared" si="5"/>
        <v>83</v>
      </c>
      <c r="B96" s="1">
        <f t="shared" si="6"/>
        <v>1266.7577375024948</v>
      </c>
      <c r="C96" s="1">
        <f t="shared" si="7"/>
        <v>953.63346461245283</v>
      </c>
      <c r="D96" s="1">
        <f t="shared" si="8"/>
        <v>313.12427289004194</v>
      </c>
      <c r="E96" s="1">
        <f t="shared" si="9"/>
        <v>40796.269587393137</v>
      </c>
    </row>
    <row r="97" spans="1:5">
      <c r="A97">
        <f t="shared" si="5"/>
        <v>84</v>
      </c>
      <c r="B97" s="1">
        <f t="shared" si="6"/>
        <v>1266.7577375024948</v>
      </c>
      <c r="C97" s="1">
        <f t="shared" si="7"/>
        <v>960.78571559704631</v>
      </c>
      <c r="D97" s="1">
        <f t="shared" si="8"/>
        <v>305.97202190544851</v>
      </c>
      <c r="E97" s="1">
        <f t="shared" si="9"/>
        <v>39835.483871796088</v>
      </c>
    </row>
    <row r="98" spans="1:5">
      <c r="A98">
        <f t="shared" si="5"/>
        <v>85</v>
      </c>
      <c r="B98" s="1">
        <f t="shared" si="6"/>
        <v>1266.7577375024948</v>
      </c>
      <c r="C98" s="1">
        <f t="shared" si="7"/>
        <v>967.99160846402424</v>
      </c>
      <c r="D98" s="1">
        <f t="shared" si="8"/>
        <v>298.76612903847064</v>
      </c>
      <c r="E98" s="1">
        <f t="shared" si="9"/>
        <v>38867.492263332068</v>
      </c>
    </row>
    <row r="99" spans="1:5">
      <c r="A99">
        <f t="shared" si="5"/>
        <v>86</v>
      </c>
      <c r="B99" s="1">
        <f t="shared" si="6"/>
        <v>1266.7577375024948</v>
      </c>
      <c r="C99" s="1">
        <f t="shared" si="7"/>
        <v>975.25154552750428</v>
      </c>
      <c r="D99" s="1">
        <f t="shared" si="8"/>
        <v>291.50619197499049</v>
      </c>
      <c r="E99" s="1">
        <f t="shared" si="9"/>
        <v>37892.240717804561</v>
      </c>
    </row>
    <row r="100" spans="1:5">
      <c r="A100">
        <f t="shared" si="5"/>
        <v>87</v>
      </c>
      <c r="B100" s="1">
        <f t="shared" si="6"/>
        <v>1266.7577375024948</v>
      </c>
      <c r="C100" s="1">
        <f t="shared" si="7"/>
        <v>982.56593211896063</v>
      </c>
      <c r="D100" s="1">
        <f t="shared" si="8"/>
        <v>284.19180538353419</v>
      </c>
      <c r="E100" s="1">
        <f t="shared" si="9"/>
        <v>36909.674785685602</v>
      </c>
    </row>
    <row r="101" spans="1:5">
      <c r="A101">
        <f t="shared" si="5"/>
        <v>88</v>
      </c>
      <c r="B101" s="1">
        <f t="shared" si="6"/>
        <v>1266.7577375024948</v>
      </c>
      <c r="C101" s="1">
        <f t="shared" si="7"/>
        <v>989.93517660985276</v>
      </c>
      <c r="D101" s="1">
        <f t="shared" si="8"/>
        <v>276.822560892642</v>
      </c>
      <c r="E101" s="1">
        <f t="shared" si="9"/>
        <v>35919.739609075747</v>
      </c>
    </row>
    <row r="102" spans="1:5">
      <c r="A102">
        <f t="shared" si="5"/>
        <v>89</v>
      </c>
      <c r="B102" s="1">
        <f t="shared" si="6"/>
        <v>1266.7577375024948</v>
      </c>
      <c r="C102" s="1">
        <f t="shared" si="7"/>
        <v>997.35969043442674</v>
      </c>
      <c r="D102" s="1">
        <f t="shared" si="8"/>
        <v>269.39804706806808</v>
      </c>
      <c r="E102" s="1">
        <f t="shared" si="9"/>
        <v>34922.379918641323</v>
      </c>
    </row>
    <row r="103" spans="1:5">
      <c r="A103">
        <f t="shared" si="5"/>
        <v>90</v>
      </c>
      <c r="B103" s="1">
        <f t="shared" si="6"/>
        <v>1266.7577375024948</v>
      </c>
      <c r="C103" s="1">
        <f t="shared" si="7"/>
        <v>1004.8398881126849</v>
      </c>
      <c r="D103" s="1">
        <f t="shared" si="8"/>
        <v>261.91784938980993</v>
      </c>
      <c r="E103" s="1">
        <f t="shared" si="9"/>
        <v>33917.540030528638</v>
      </c>
    </row>
    <row r="104" spans="1:5">
      <c r="A104">
        <f t="shared" si="5"/>
        <v>91</v>
      </c>
      <c r="B104" s="1">
        <f t="shared" si="6"/>
        <v>1266.7577375024948</v>
      </c>
      <c r="C104" s="1">
        <f t="shared" si="7"/>
        <v>1012.37618727353</v>
      </c>
      <c r="D104" s="1">
        <f t="shared" si="8"/>
        <v>254.38155022896478</v>
      </c>
      <c r="E104" s="1">
        <f t="shared" si="9"/>
        <v>32905.163843255112</v>
      </c>
    </row>
    <row r="105" spans="1:5">
      <c r="A105">
        <f t="shared" si="5"/>
        <v>92</v>
      </c>
      <c r="B105" s="1">
        <f t="shared" si="6"/>
        <v>1266.7577375024948</v>
      </c>
      <c r="C105" s="1">
        <f t="shared" si="7"/>
        <v>1019.9690086780815</v>
      </c>
      <c r="D105" s="1">
        <f t="shared" si="8"/>
        <v>246.78872882441334</v>
      </c>
      <c r="E105" s="1">
        <f t="shared" si="9"/>
        <v>31885.194834577029</v>
      </c>
    </row>
    <row r="106" spans="1:5">
      <c r="A106">
        <f t="shared" si="5"/>
        <v>93</v>
      </c>
      <c r="B106" s="1">
        <f t="shared" si="6"/>
        <v>1266.7577375024948</v>
      </c>
      <c r="C106" s="1">
        <f t="shared" si="7"/>
        <v>1027.6187762431671</v>
      </c>
      <c r="D106" s="1">
        <f t="shared" si="8"/>
        <v>239.13896125932771</v>
      </c>
      <c r="E106" s="1">
        <f t="shared" si="9"/>
        <v>30857.576058333863</v>
      </c>
    </row>
    <row r="107" spans="1:5">
      <c r="A107">
        <f t="shared" si="5"/>
        <v>94</v>
      </c>
      <c r="B107" s="1">
        <f t="shared" si="6"/>
        <v>1266.7577375024948</v>
      </c>
      <c r="C107" s="1">
        <f t="shared" si="7"/>
        <v>1035.3259170649908</v>
      </c>
      <c r="D107" s="1">
        <f t="shared" si="8"/>
        <v>231.43182043750397</v>
      </c>
      <c r="E107" s="1">
        <f t="shared" si="9"/>
        <v>29822.250141268873</v>
      </c>
    </row>
    <row r="108" spans="1:5">
      <c r="A108">
        <f t="shared" si="5"/>
        <v>95</v>
      </c>
      <c r="B108" s="1">
        <f t="shared" si="6"/>
        <v>1266.7577375024948</v>
      </c>
      <c r="C108" s="1">
        <f t="shared" si="7"/>
        <v>1043.0908614429782</v>
      </c>
      <c r="D108" s="1">
        <f t="shared" si="8"/>
        <v>223.66687605951654</v>
      </c>
      <c r="E108" s="1">
        <f t="shared" si="9"/>
        <v>28779.159279825893</v>
      </c>
    </row>
    <row r="109" spans="1:5">
      <c r="A109">
        <f t="shared" si="5"/>
        <v>96</v>
      </c>
      <c r="B109" s="1">
        <f t="shared" si="6"/>
        <v>1266.7577375024948</v>
      </c>
      <c r="C109" s="1">
        <f t="shared" si="7"/>
        <v>1050.9140429038007</v>
      </c>
      <c r="D109" s="1">
        <f t="shared" si="8"/>
        <v>215.84369459869419</v>
      </c>
      <c r="E109" s="1">
        <f t="shared" si="9"/>
        <v>27728.245236922092</v>
      </c>
    </row>
    <row r="110" spans="1:5">
      <c r="A110">
        <f t="shared" si="5"/>
        <v>97</v>
      </c>
      <c r="B110" s="1">
        <f t="shared" si="6"/>
        <v>1266.7577375024948</v>
      </c>
      <c r="C110" s="1">
        <f t="shared" si="7"/>
        <v>1058.7958982255791</v>
      </c>
      <c r="D110" s="1">
        <f t="shared" si="8"/>
        <v>207.96183927691567</v>
      </c>
      <c r="E110" s="1">
        <f t="shared" si="9"/>
        <v>26669.449338696511</v>
      </c>
    </row>
    <row r="111" spans="1:5">
      <c r="A111">
        <f t="shared" si="5"/>
        <v>98</v>
      </c>
      <c r="B111" s="1">
        <f t="shared" si="6"/>
        <v>1266.7577375024948</v>
      </c>
      <c r="C111" s="1">
        <f t="shared" si="7"/>
        <v>1066.736867462271</v>
      </c>
      <c r="D111" s="1">
        <f t="shared" si="8"/>
        <v>200.02087004022383</v>
      </c>
      <c r="E111" s="1">
        <f t="shared" si="9"/>
        <v>25602.712471234241</v>
      </c>
    </row>
    <row r="112" spans="1:5">
      <c r="A112">
        <f t="shared" si="5"/>
        <v>99</v>
      </c>
      <c r="B112" s="1">
        <f t="shared" si="6"/>
        <v>1266.7577375024948</v>
      </c>
      <c r="C112" s="1">
        <f t="shared" si="7"/>
        <v>1074.7373939682379</v>
      </c>
      <c r="D112" s="1">
        <f t="shared" si="8"/>
        <v>192.0203435342568</v>
      </c>
      <c r="E112" s="1">
        <f t="shared" si="9"/>
        <v>24527.975077266005</v>
      </c>
    </row>
    <row r="113" spans="1:5">
      <c r="A113">
        <f t="shared" si="5"/>
        <v>100</v>
      </c>
      <c r="B113" s="1">
        <f t="shared" si="6"/>
        <v>1266.7577375024948</v>
      </c>
      <c r="C113" s="1">
        <f t="shared" si="7"/>
        <v>1082.7979244229998</v>
      </c>
      <c r="D113" s="1">
        <f t="shared" si="8"/>
        <v>183.95981307949504</v>
      </c>
      <c r="E113" s="1">
        <f t="shared" si="9"/>
        <v>23445.177152843004</v>
      </c>
    </row>
    <row r="114" spans="1:5">
      <c r="A114">
        <f t="shared" si="5"/>
        <v>101</v>
      </c>
      <c r="B114" s="1">
        <f t="shared" si="6"/>
        <v>1266.7577375024948</v>
      </c>
      <c r="C114" s="1">
        <f t="shared" si="7"/>
        <v>1090.9189088561723</v>
      </c>
      <c r="D114" s="1">
        <f t="shared" si="8"/>
        <v>175.83882864632253</v>
      </c>
      <c r="E114" s="1">
        <f t="shared" si="9"/>
        <v>22354.258243986831</v>
      </c>
    </row>
    <row r="115" spans="1:5">
      <c r="A115">
        <f t="shared" si="5"/>
        <v>102</v>
      </c>
      <c r="B115" s="1">
        <f t="shared" si="6"/>
        <v>1266.7577375024948</v>
      </c>
      <c r="C115" s="1">
        <f t="shared" si="7"/>
        <v>1099.1008006725936</v>
      </c>
      <c r="D115" s="1">
        <f t="shared" si="8"/>
        <v>167.65693682990124</v>
      </c>
      <c r="E115" s="1">
        <f t="shared" si="9"/>
        <v>21255.157443314238</v>
      </c>
    </row>
    <row r="116" spans="1:5">
      <c r="A116">
        <f t="shared" si="5"/>
        <v>103</v>
      </c>
      <c r="B116" s="1">
        <f t="shared" si="6"/>
        <v>1266.7577375024948</v>
      </c>
      <c r="C116" s="1">
        <f t="shared" si="7"/>
        <v>1107.344056677638</v>
      </c>
      <c r="D116" s="1">
        <f t="shared" si="8"/>
        <v>159.41368082485678</v>
      </c>
      <c r="E116" s="1">
        <f t="shared" si="9"/>
        <v>20147.813386636601</v>
      </c>
    </row>
    <row r="117" spans="1:5">
      <c r="A117">
        <f t="shared" si="5"/>
        <v>104</v>
      </c>
      <c r="B117" s="1">
        <f t="shared" si="6"/>
        <v>1266.7577375024948</v>
      </c>
      <c r="C117" s="1">
        <f t="shared" si="7"/>
        <v>1115.6491371027203</v>
      </c>
      <c r="D117" s="1">
        <f t="shared" si="8"/>
        <v>151.1086003997745</v>
      </c>
      <c r="E117" s="1">
        <f t="shared" si="9"/>
        <v>19032.164249533882</v>
      </c>
    </row>
    <row r="118" spans="1:5">
      <c r="A118">
        <f t="shared" si="5"/>
        <v>105</v>
      </c>
      <c r="B118" s="1">
        <f t="shared" si="6"/>
        <v>1266.7577375024948</v>
      </c>
      <c r="C118" s="1">
        <f t="shared" si="7"/>
        <v>1124.0165056309907</v>
      </c>
      <c r="D118" s="1">
        <f t="shared" si="8"/>
        <v>142.74123187150411</v>
      </c>
      <c r="E118" s="1">
        <f t="shared" si="9"/>
        <v>17908.147743902889</v>
      </c>
    </row>
    <row r="119" spans="1:5">
      <c r="A119">
        <f t="shared" si="5"/>
        <v>106</v>
      </c>
      <c r="B119" s="1">
        <f t="shared" si="6"/>
        <v>1266.7577375024948</v>
      </c>
      <c r="C119" s="1">
        <f t="shared" si="7"/>
        <v>1132.4466294232232</v>
      </c>
      <c r="D119" s="1">
        <f t="shared" si="8"/>
        <v>134.31110807927166</v>
      </c>
      <c r="E119" s="1">
        <f t="shared" si="9"/>
        <v>16775.701114479667</v>
      </c>
    </row>
    <row r="120" spans="1:5">
      <c r="A120">
        <f t="shared" si="5"/>
        <v>107</v>
      </c>
      <c r="B120" s="1">
        <f t="shared" si="6"/>
        <v>1266.7577375024948</v>
      </c>
      <c r="C120" s="1">
        <f t="shared" si="7"/>
        <v>1140.9399791438973</v>
      </c>
      <c r="D120" s="1">
        <f t="shared" si="8"/>
        <v>125.8177583585975</v>
      </c>
      <c r="E120" s="1">
        <f t="shared" si="9"/>
        <v>15634.76113533577</v>
      </c>
    </row>
    <row r="121" spans="1:5">
      <c r="A121">
        <f t="shared" si="5"/>
        <v>108</v>
      </c>
      <c r="B121" s="1">
        <f t="shared" si="6"/>
        <v>1266.7577375024948</v>
      </c>
      <c r="C121" s="1">
        <f t="shared" si="7"/>
        <v>1149.4970289874766</v>
      </c>
      <c r="D121" s="1">
        <f t="shared" si="8"/>
        <v>117.26070851501827</v>
      </c>
      <c r="E121" s="1">
        <f t="shared" si="9"/>
        <v>14485.264106348293</v>
      </c>
    </row>
    <row r="122" spans="1:5">
      <c r="A122">
        <f t="shared" si="5"/>
        <v>109</v>
      </c>
      <c r="B122" s="1">
        <f t="shared" si="6"/>
        <v>1266.7577375024948</v>
      </c>
      <c r="C122" s="1">
        <f t="shared" si="7"/>
        <v>1158.1182567048827</v>
      </c>
      <c r="D122" s="1">
        <f t="shared" si="8"/>
        <v>108.63948079761219</v>
      </c>
      <c r="E122" s="1">
        <f t="shared" si="9"/>
        <v>13327.14584964341</v>
      </c>
    </row>
    <row r="123" spans="1:5">
      <c r="A123">
        <f t="shared" si="5"/>
        <v>110</v>
      </c>
      <c r="B123" s="1">
        <f t="shared" si="6"/>
        <v>1266.7577375024948</v>
      </c>
      <c r="C123" s="1">
        <f t="shared" si="7"/>
        <v>1166.8041436301692</v>
      </c>
      <c r="D123" s="1">
        <f t="shared" si="8"/>
        <v>99.95359387232557</v>
      </c>
      <c r="E123" s="1">
        <f t="shared" si="9"/>
        <v>12160.341706013241</v>
      </c>
    </row>
    <row r="124" spans="1:5">
      <c r="A124">
        <f t="shared" si="5"/>
        <v>111</v>
      </c>
      <c r="B124" s="1">
        <f t="shared" si="6"/>
        <v>1266.7577375024948</v>
      </c>
      <c r="C124" s="1">
        <f t="shared" si="7"/>
        <v>1175.5551747073955</v>
      </c>
      <c r="D124" s="1">
        <f t="shared" si="8"/>
        <v>91.202562795099311</v>
      </c>
      <c r="E124" s="1">
        <f t="shared" si="9"/>
        <v>10984.786531305846</v>
      </c>
    </row>
    <row r="125" spans="1:5">
      <c r="A125">
        <f t="shared" si="5"/>
        <v>112</v>
      </c>
      <c r="B125" s="1">
        <f t="shared" si="6"/>
        <v>1266.7577375024948</v>
      </c>
      <c r="C125" s="1">
        <f t="shared" si="7"/>
        <v>1184.371838517701</v>
      </c>
      <c r="D125" s="1">
        <f t="shared" si="8"/>
        <v>82.38589898479384</v>
      </c>
      <c r="E125" s="1">
        <f t="shared" si="9"/>
        <v>9800.4146927881447</v>
      </c>
    </row>
    <row r="126" spans="1:5">
      <c r="A126">
        <f t="shared" si="5"/>
        <v>113</v>
      </c>
      <c r="B126" s="1">
        <f t="shared" si="6"/>
        <v>1266.7577375024948</v>
      </c>
      <c r="C126" s="1">
        <f t="shared" si="7"/>
        <v>1193.2546273065836</v>
      </c>
      <c r="D126" s="1">
        <f t="shared" si="8"/>
        <v>73.503110195911077</v>
      </c>
      <c r="E126" s="1">
        <f t="shared" si="9"/>
        <v>8607.1600654815611</v>
      </c>
    </row>
    <row r="127" spans="1:5">
      <c r="A127">
        <f t="shared" si="5"/>
        <v>114</v>
      </c>
      <c r="B127" s="1">
        <f t="shared" si="6"/>
        <v>1266.7577375024948</v>
      </c>
      <c r="C127" s="1">
        <f t="shared" si="7"/>
        <v>1202.2040370113832</v>
      </c>
      <c r="D127" s="1">
        <f t="shared" si="8"/>
        <v>64.553700491111712</v>
      </c>
      <c r="E127" s="1">
        <f t="shared" si="9"/>
        <v>7404.9560284701784</v>
      </c>
    </row>
    <row r="128" spans="1:5">
      <c r="A128">
        <f t="shared" si="5"/>
        <v>115</v>
      </c>
      <c r="B128" s="1">
        <f t="shared" si="6"/>
        <v>1266.7577375024948</v>
      </c>
      <c r="C128" s="1">
        <f t="shared" si="7"/>
        <v>1211.2205672889686</v>
      </c>
      <c r="D128" s="1">
        <f t="shared" si="8"/>
        <v>55.537170213526338</v>
      </c>
      <c r="E128" s="1">
        <f t="shared" si="9"/>
        <v>6193.7354611812098</v>
      </c>
    </row>
    <row r="129" spans="1:5">
      <c r="A129">
        <f t="shared" si="5"/>
        <v>116</v>
      </c>
      <c r="B129" s="1">
        <f t="shared" si="6"/>
        <v>1266.7577375024948</v>
      </c>
      <c r="C129" s="1">
        <f t="shared" si="7"/>
        <v>1220.3047215436357</v>
      </c>
      <c r="D129" s="1">
        <f t="shared" si="8"/>
        <v>46.453015958859069</v>
      </c>
      <c r="E129" s="1">
        <f t="shared" si="9"/>
        <v>4973.4307396375743</v>
      </c>
    </row>
    <row r="130" spans="1:5">
      <c r="A130">
        <f t="shared" si="5"/>
        <v>117</v>
      </c>
      <c r="B130" s="1">
        <f t="shared" si="6"/>
        <v>1266.7577375024948</v>
      </c>
      <c r="C130" s="1">
        <f t="shared" si="7"/>
        <v>1229.457006955213</v>
      </c>
      <c r="D130" s="1">
        <f t="shared" si="8"/>
        <v>37.300730547281809</v>
      </c>
      <c r="E130" s="1">
        <f t="shared" si="9"/>
        <v>3743.9737326823615</v>
      </c>
    </row>
    <row r="131" spans="1:5">
      <c r="A131">
        <f t="shared" si="5"/>
        <v>118</v>
      </c>
      <c r="B131" s="1">
        <f t="shared" si="6"/>
        <v>1266.7577375024948</v>
      </c>
      <c r="C131" s="1">
        <f t="shared" si="7"/>
        <v>1238.6779345073771</v>
      </c>
      <c r="D131" s="1">
        <f t="shared" si="8"/>
        <v>28.07980299511771</v>
      </c>
      <c r="E131" s="1">
        <f t="shared" si="9"/>
        <v>2505.2957981749842</v>
      </c>
    </row>
    <row r="132" spans="1:5">
      <c r="A132">
        <f t="shared" si="5"/>
        <v>119</v>
      </c>
      <c r="B132" s="1">
        <f t="shared" si="6"/>
        <v>1266.7577375024948</v>
      </c>
      <c r="C132" s="1">
        <f t="shared" si="7"/>
        <v>1247.9680190161826</v>
      </c>
      <c r="D132" s="1">
        <f t="shared" si="8"/>
        <v>18.789718486312381</v>
      </c>
      <c r="E132" s="1">
        <f t="shared" si="9"/>
        <v>1257.3277791588016</v>
      </c>
    </row>
    <row r="133" spans="1:5">
      <c r="A133">
        <f t="shared" si="5"/>
        <v>120</v>
      </c>
      <c r="B133" s="1">
        <f t="shared" si="6"/>
        <v>1266.7577375024948</v>
      </c>
      <c r="C133" s="1">
        <f t="shared" si="7"/>
        <v>1257.3277791588039</v>
      </c>
      <c r="D133" s="1">
        <f t="shared" si="8"/>
        <v>9.4299583436910108</v>
      </c>
      <c r="E133" s="1">
        <f t="shared" si="9"/>
        <v>-2.2737367544323206E-12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U10" sqref="U10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V2" sqref="V2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859462.0660337552</v>
      </c>
      <c r="H7" s="94">
        <f>'Profit and Loss Statement'!F21/'Profit and Loss Statement'!F8</f>
        <v>892741.24732067494</v>
      </c>
      <c r="I7" s="94">
        <f>'Profit and Loss Statement'!G21/'Profit and Loss Statement'!G8</f>
        <v>928359.05327637121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859462.0660337552</v>
      </c>
      <c r="H11" s="114">
        <f>H7</f>
        <v>892741.24732067494</v>
      </c>
      <c r="I11" s="114">
        <f>I7</f>
        <v>928359.05327637121</v>
      </c>
      <c r="J11" s="114">
        <f t="shared" ref="J11:K11" si="0">J7</f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9" sqref="W9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8"/>
      <c r="J8" s="128"/>
    </row>
    <row r="9" spans="5:10">
      <c r="E9" s="103" t="s">
        <v>12</v>
      </c>
      <c r="F9" s="104">
        <f>'Profit and Loss Statement'!E8</f>
        <v>0.67714285714285716</v>
      </c>
      <c r="G9" s="104">
        <f>'Profit and Loss Statement'!F8</f>
        <v>0.67714285714285727</v>
      </c>
      <c r="H9" s="101">
        <f>'Profit and Loss Statement'!G8</f>
        <v>0.67714285714285716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0.1106562028530705</v>
      </c>
      <c r="G12" s="101">
        <f>'Profit and Loss Statement'!F28/'Profit and Loss Statement'!F6</f>
        <v>0.13162978232596345</v>
      </c>
      <c r="H12" s="101">
        <f>'Profit and Loss Statement'!G28/'Profit and Loss Statement'!G6</f>
        <v>0.15102965970231091</v>
      </c>
      <c r="I12" s="128"/>
      <c r="J12" s="128"/>
    </row>
    <row r="13" spans="5:10">
      <c r="E13" s="66" t="s">
        <v>92</v>
      </c>
      <c r="F13" s="105">
        <f>'Balance Sheet'!E10/'Balance Sheet'!E15</f>
        <v>1.986417630047653</v>
      </c>
      <c r="G13" s="105">
        <f>'Balance Sheet'!F10/'Balance Sheet'!F15</f>
        <v>2.6887353534086795</v>
      </c>
      <c r="H13" s="105">
        <f>'Balance Sheet'!G10/'Balance Sheet'!G15</f>
        <v>3.6713341041648371</v>
      </c>
      <c r="I13" s="129"/>
      <c r="J13" s="129"/>
    </row>
    <row r="14" spans="5:10">
      <c r="E14" s="66" t="s">
        <v>93</v>
      </c>
      <c r="F14" s="105">
        <f>'Balance Sheet'!E17/'Balance Sheet'!E15</f>
        <v>0.98641763004765304</v>
      </c>
      <c r="G14" s="105">
        <f>'Balance Sheet'!F17/'Balance Sheet'!F15</f>
        <v>1.6887353534086798</v>
      </c>
      <c r="H14" s="105">
        <f>'Balance Sheet'!G17/'Balance Sheet'!G15</f>
        <v>2.6713341041648366</v>
      </c>
      <c r="I14" s="129"/>
      <c r="J14" s="129"/>
    </row>
    <row r="15" spans="5:10">
      <c r="E15" s="66" t="s">
        <v>94</v>
      </c>
      <c r="F15" s="105">
        <f>'Balance Sheet'!E10/'Balance Sheet'!E17</f>
        <v>2.013769390913756</v>
      </c>
      <c r="G15" s="105">
        <f>'Balance Sheet'!F10/'Balance Sheet'!F17</f>
        <v>1.5921590958473861</v>
      </c>
      <c r="H15" s="105">
        <f>'Balance Sheet'!G10/'Balance Sheet'!G17</f>
        <v>1.3743447884114963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0.51763128074513531</v>
      </c>
      <c r="G18" s="105">
        <f>'Balance Sheet'!F7/'Balance Sheet'!F10</f>
        <v>0.63269405562763092</v>
      </c>
      <c r="H18" s="105">
        <f>'Balance Sheet'!G7/'Balance Sheet'!G10</f>
        <v>0.71355982128686413</v>
      </c>
      <c r="I18" s="129"/>
      <c r="J18" s="129"/>
    </row>
    <row r="19" spans="5:10">
      <c r="E19" s="66" t="s">
        <v>96</v>
      </c>
      <c r="F19" s="105">
        <f>'Balance Sheet'!E7/'Balance Sheet'!E15</f>
        <v>1.0282319019362831</v>
      </c>
      <c r="G19" s="105">
        <f>'Balance Sheet'!F7/'Balance Sheet'!F15</f>
        <v>1.7011468752575292</v>
      </c>
      <c r="H19" s="105">
        <f>'Balance Sheet'!G7/'Balance Sheet'!G15</f>
        <v>2.6197165072522304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119</v>
      </c>
      <c r="C6" s="14">
        <v>45000</v>
      </c>
      <c r="G6" s="4" t="str">
        <f>B5</f>
        <v>Senior Management</v>
      </c>
      <c r="H6" s="14">
        <f>H18*C5</f>
        <v>50000</v>
      </c>
      <c r="I6" s="14">
        <f>D58*I18</f>
        <v>51500</v>
      </c>
      <c r="J6" s="14">
        <f t="shared" ref="J6:J15" si="0">E58*J18</f>
        <v>53045</v>
      </c>
      <c r="M6" s="117"/>
      <c r="N6" s="117"/>
    </row>
    <row r="7" spans="2:14">
      <c r="B7" s="4" t="s">
        <v>130</v>
      </c>
      <c r="C7" s="14">
        <v>30000</v>
      </c>
      <c r="G7" s="4" t="str">
        <f>B6</f>
        <v>Operational Managers</v>
      </c>
      <c r="H7" s="14">
        <f t="shared" ref="H7:H15" si="1">H19*C6</f>
        <v>45000</v>
      </c>
      <c r="I7" s="14">
        <f t="shared" ref="I7:I15" si="2">D59*I19</f>
        <v>46350</v>
      </c>
      <c r="J7" s="14">
        <f t="shared" si="0"/>
        <v>47740.5</v>
      </c>
      <c r="M7" s="117"/>
      <c r="N7" s="117"/>
    </row>
    <row r="8" spans="2:14">
      <c r="B8" s="4" t="s">
        <v>131</v>
      </c>
      <c r="C8" s="14">
        <v>27500</v>
      </c>
      <c r="G8" s="4" t="str">
        <f>B7</f>
        <v>Front of House Staff</v>
      </c>
      <c r="H8" s="14">
        <f t="shared" si="1"/>
        <v>90000</v>
      </c>
      <c r="I8" s="14">
        <f t="shared" si="2"/>
        <v>92700</v>
      </c>
      <c r="J8" s="14">
        <f t="shared" si="0"/>
        <v>95481</v>
      </c>
      <c r="M8" s="117"/>
      <c r="N8" s="117"/>
    </row>
    <row r="9" spans="2:14">
      <c r="B9" s="4" t="s">
        <v>134</v>
      </c>
      <c r="C9" s="14">
        <v>45000</v>
      </c>
      <c r="G9" s="4" t="str">
        <f>B8</f>
        <v>Kitchen Staff</v>
      </c>
      <c r="H9" s="14">
        <f t="shared" si="1"/>
        <v>55000</v>
      </c>
      <c r="I9" s="14">
        <f t="shared" si="2"/>
        <v>56650</v>
      </c>
      <c r="J9" s="14">
        <f t="shared" si="0"/>
        <v>58349.5</v>
      </c>
      <c r="M9" s="117"/>
      <c r="N9" s="117"/>
    </row>
    <row r="10" spans="2:14">
      <c r="B10" s="4" t="s">
        <v>121</v>
      </c>
      <c r="C10" s="14">
        <v>30000</v>
      </c>
      <c r="G10" s="4" t="str">
        <f>B9</f>
        <v>Location Staff</v>
      </c>
      <c r="H10" s="14">
        <f t="shared" si="1"/>
        <v>180000</v>
      </c>
      <c r="I10" s="14">
        <f t="shared" si="2"/>
        <v>185400</v>
      </c>
      <c r="J10" s="14">
        <f t="shared" si="0"/>
        <v>190962</v>
      </c>
      <c r="M10" s="117"/>
      <c r="N10" s="117"/>
    </row>
    <row r="11" spans="2:14">
      <c r="B11" s="4" t="s">
        <v>136</v>
      </c>
      <c r="C11" s="14">
        <v>0</v>
      </c>
      <c r="G11" s="4" t="str">
        <f>B29</f>
        <v>Position 6</v>
      </c>
      <c r="H11" s="14">
        <f t="shared" si="1"/>
        <v>0</v>
      </c>
      <c r="I11" s="14">
        <f t="shared" si="2"/>
        <v>0</v>
      </c>
      <c r="J11" s="14">
        <f t="shared" si="0"/>
        <v>0</v>
      </c>
      <c r="M11" s="117"/>
      <c r="N11" s="117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1"/>
        <v>0</v>
      </c>
      <c r="I12" s="14">
        <f t="shared" si="2"/>
        <v>0</v>
      </c>
      <c r="J12" s="14">
        <f t="shared" si="0"/>
        <v>0</v>
      </c>
      <c r="M12" s="117"/>
      <c r="N12" s="117"/>
    </row>
    <row r="13" spans="2:14">
      <c r="B13" s="4" t="s">
        <v>138</v>
      </c>
      <c r="C13" s="14"/>
      <c r="G13" s="4" t="str">
        <f>B31</f>
        <v>Position 8</v>
      </c>
      <c r="H13" s="14">
        <f t="shared" si="1"/>
        <v>0</v>
      </c>
      <c r="I13" s="14">
        <f t="shared" si="2"/>
        <v>0</v>
      </c>
      <c r="J13" s="14">
        <f t="shared" si="0"/>
        <v>0</v>
      </c>
      <c r="M13" s="117"/>
      <c r="N13" s="117"/>
    </row>
    <row r="14" spans="2:14">
      <c r="B14" s="4" t="s">
        <v>125</v>
      </c>
      <c r="C14" s="14"/>
      <c r="G14" s="4" t="str">
        <f>B32</f>
        <v>Position 9</v>
      </c>
      <c r="H14" s="14">
        <f t="shared" si="1"/>
        <v>0</v>
      </c>
      <c r="I14" s="14">
        <f t="shared" si="2"/>
        <v>0</v>
      </c>
      <c r="J14" s="14">
        <f t="shared" si="0"/>
        <v>0</v>
      </c>
      <c r="M14" s="117"/>
      <c r="N14" s="117"/>
    </row>
    <row r="15" spans="2:14">
      <c r="G15" s="4" t="str">
        <f>B33</f>
        <v>Position 10</v>
      </c>
      <c r="H15" s="14">
        <f t="shared" si="1"/>
        <v>0</v>
      </c>
      <c r="I15" s="14">
        <f t="shared" si="2"/>
        <v>0</v>
      </c>
      <c r="J15" s="14">
        <f t="shared" si="0"/>
        <v>0</v>
      </c>
      <c r="M15" s="117"/>
      <c r="N15" s="117"/>
    </row>
    <row r="16" spans="2:14">
      <c r="G16" s="10" t="s">
        <v>8</v>
      </c>
      <c r="H16" s="9">
        <f>SUM(H6:H15)</f>
        <v>420000</v>
      </c>
      <c r="I16" s="9">
        <f t="shared" ref="I16:J16" si="3">SUM(I6:I15)</f>
        <v>432600</v>
      </c>
      <c r="J16" s="9">
        <f t="shared" si="3"/>
        <v>445578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Front of House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Kitchen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Location Staff</v>
      </c>
      <c r="H22" s="4">
        <f t="shared" si="4"/>
        <v>4</v>
      </c>
      <c r="I22" s="4">
        <f t="shared" si="5"/>
        <v>4</v>
      </c>
      <c r="J22" s="4">
        <f t="shared" si="6"/>
        <v>4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Front of House Staff</v>
      </c>
      <c r="C26" s="5">
        <v>3</v>
      </c>
      <c r="D26" s="5">
        <v>3</v>
      </c>
      <c r="E26" s="5">
        <v>3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Kitchen Staff</v>
      </c>
      <c r="C27" s="5">
        <v>2</v>
      </c>
      <c r="D27" s="5">
        <v>2</v>
      </c>
      <c r="E27" s="5">
        <v>2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Location Staff</v>
      </c>
      <c r="C28" s="5">
        <v>4</v>
      </c>
      <c r="D28" s="5">
        <v>4</v>
      </c>
      <c r="E28" s="5">
        <v>4</v>
      </c>
      <c r="F28" s="140"/>
      <c r="G28" s="10" t="s">
        <v>8</v>
      </c>
      <c r="H28" s="10">
        <f>SUM(H18:H27)</f>
        <v>11</v>
      </c>
      <c r="I28" s="10">
        <f t="shared" ref="I28:J28" si="8">SUM(I18:I27)</f>
        <v>11</v>
      </c>
      <c r="J28" s="10">
        <f t="shared" si="8"/>
        <v>11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121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122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123</v>
      </c>
      <c r="C31" s="5"/>
      <c r="D31" s="5"/>
      <c r="E31" s="5"/>
      <c r="L31" s="112" t="str">
        <f>G6</f>
        <v>Senior Management</v>
      </c>
      <c r="M31" s="113">
        <f>J6/$J$16</f>
        <v>0.11904761904761904</v>
      </c>
      <c r="O31" s="115"/>
      <c r="P31" s="115"/>
      <c r="Q31" s="115"/>
      <c r="R31" s="115"/>
      <c r="S31" s="115"/>
      <c r="T31" s="115"/>
    </row>
    <row r="32" spans="2:20">
      <c r="B32" s="15" t="s">
        <v>124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0.10714285714285714</v>
      </c>
      <c r="O32" s="115"/>
      <c r="P32" s="115"/>
      <c r="Q32" s="115"/>
      <c r="T32" s="115"/>
    </row>
    <row r="33" spans="2:20">
      <c r="B33" s="15" t="s">
        <v>125</v>
      </c>
      <c r="C33" s="5"/>
      <c r="D33" s="5"/>
      <c r="E33" s="5"/>
      <c r="F33" s="30"/>
      <c r="G33" s="30"/>
      <c r="L33" s="112" t="str">
        <f>G8</f>
        <v>Front of House Staff</v>
      </c>
      <c r="M33" s="113">
        <f>J8/$J$16</f>
        <v>0.21428571428571427</v>
      </c>
      <c r="O33" s="115"/>
      <c r="P33" s="115"/>
      <c r="Q33" s="112" t="s">
        <v>135</v>
      </c>
      <c r="T33" s="115"/>
    </row>
    <row r="34" spans="2:20">
      <c r="F34" s="43"/>
      <c r="G34" s="43"/>
      <c r="L34" s="112" t="str">
        <f>G9</f>
        <v>Kitchen Staff</v>
      </c>
      <c r="M34" s="113">
        <f>J9/$J$16</f>
        <v>0.13095238095238096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Location Staff</v>
      </c>
      <c r="M35" s="113">
        <f>J10/$J$16</f>
        <v>0.42857142857142855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4"/>
      <c r="G58" s="144"/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E59" si="10">C59*(1+$C$53)</f>
        <v>46350</v>
      </c>
      <c r="E59" s="14">
        <f t="shared" si="10"/>
        <v>47740.5</v>
      </c>
      <c r="F59" s="144"/>
      <c r="G59" s="144"/>
    </row>
    <row r="60" spans="2:7">
      <c r="B60" s="4" t="str">
        <f t="shared" si="9"/>
        <v>Front of House Staff</v>
      </c>
      <c r="C60" s="14">
        <f t="shared" si="9"/>
        <v>30000</v>
      </c>
      <c r="D60" s="14">
        <f t="shared" ref="D60:E60" si="11">C60*(1+$C$53)</f>
        <v>30900</v>
      </c>
      <c r="E60" s="14">
        <f t="shared" si="11"/>
        <v>31827</v>
      </c>
      <c r="F60" s="144"/>
      <c r="G60" s="144"/>
    </row>
    <row r="61" spans="2:7">
      <c r="B61" s="4" t="str">
        <f t="shared" si="9"/>
        <v>Kitchen Staff</v>
      </c>
      <c r="C61" s="14">
        <f t="shared" si="9"/>
        <v>27500</v>
      </c>
      <c r="D61" s="14">
        <f t="shared" ref="D61:E61" si="12">C61*(1+$C$53)</f>
        <v>28325</v>
      </c>
      <c r="E61" s="14">
        <f t="shared" si="12"/>
        <v>29174.75</v>
      </c>
      <c r="F61" s="144"/>
      <c r="G61" s="144"/>
    </row>
    <row r="62" spans="2:7">
      <c r="B62" s="4" t="str">
        <f t="shared" si="9"/>
        <v>Location Staff</v>
      </c>
      <c r="C62" s="14">
        <f t="shared" si="9"/>
        <v>45000</v>
      </c>
      <c r="D62" s="14">
        <f t="shared" ref="D62:E62" si="13">C62*(1+$C$53)</f>
        <v>46350</v>
      </c>
      <c r="E62" s="14">
        <f t="shared" si="13"/>
        <v>47740.5</v>
      </c>
      <c r="F62" s="144"/>
      <c r="G62" s="144"/>
    </row>
    <row r="63" spans="2:7">
      <c r="B63" s="4" t="str">
        <f t="shared" si="9"/>
        <v>Position 6</v>
      </c>
      <c r="C63" s="14">
        <f t="shared" si="9"/>
        <v>30000</v>
      </c>
      <c r="D63" s="14">
        <f t="shared" ref="D63:E63" si="14">C63*(1+$C$53)</f>
        <v>30900</v>
      </c>
      <c r="E63" s="14">
        <f t="shared" si="14"/>
        <v>31827</v>
      </c>
      <c r="F63" s="144"/>
      <c r="G63" s="144"/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E64" si="15">C64*(1+$C$53)</f>
        <v>0</v>
      </c>
      <c r="E64" s="14">
        <f t="shared" si="15"/>
        <v>0</v>
      </c>
      <c r="F64" s="144"/>
      <c r="G64" s="144"/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E65" si="16">C65*(1+$C$53)</f>
        <v>0</v>
      </c>
      <c r="E65" s="14">
        <f t="shared" si="16"/>
        <v>0</v>
      </c>
      <c r="F65" s="144"/>
      <c r="G65" s="144"/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E66" si="17">C66*(1+$C$53)</f>
        <v>0</v>
      </c>
      <c r="E66" s="14">
        <f t="shared" si="17"/>
        <v>0</v>
      </c>
      <c r="F66" s="144"/>
      <c r="G66" s="144"/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E67" si="18">C67*(1+$C$53)</f>
        <v>0</v>
      </c>
      <c r="E67" s="14">
        <f t="shared" si="18"/>
        <v>0</v>
      </c>
      <c r="F67" s="144"/>
      <c r="G67" s="144"/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M25" sqref="M25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5"/>
      <c r="J5" s="108"/>
      <c r="K5" s="109"/>
      <c r="L5" s="109"/>
      <c r="M5" s="109"/>
    </row>
    <row r="6" spans="5:13">
      <c r="E6" s="94" t="str">
        <f>Inputs!B5</f>
        <v>Beverage Sales</v>
      </c>
      <c r="F6" s="94">
        <f>SUM(Inputs!C32:N32)</f>
        <v>661320</v>
      </c>
      <c r="G6" s="94">
        <f t="shared" ref="G6:H15" si="0">F6*(1+G$5)</f>
        <v>727452.00000000012</v>
      </c>
      <c r="H6" s="94">
        <f t="shared" si="0"/>
        <v>800197.20000000019</v>
      </c>
      <c r="I6" s="127"/>
      <c r="J6" s="94" t="str">
        <f>E6</f>
        <v>Beverage Sales</v>
      </c>
      <c r="K6" s="143">
        <f>F6/$F$16</f>
        <v>0.5714285714285714</v>
      </c>
      <c r="L6" s="143">
        <f>G6/$G$16</f>
        <v>0.5714285714285714</v>
      </c>
      <c r="M6" s="143">
        <f>H6/$H$16</f>
        <v>0.5714285714285714</v>
      </c>
    </row>
    <row r="7" spans="5:13">
      <c r="E7" s="94" t="str">
        <f>Inputs!B6</f>
        <v>Cover Fees</v>
      </c>
      <c r="F7" s="94">
        <f>SUM(Inputs!C33:N33)</f>
        <v>231462</v>
      </c>
      <c r="G7" s="94">
        <f t="shared" si="0"/>
        <v>254608.2</v>
      </c>
      <c r="H7" s="94">
        <f t="shared" si="0"/>
        <v>280069.02</v>
      </c>
      <c r="I7" s="127"/>
      <c r="J7" s="94" t="str">
        <f t="shared" ref="J7:J15" si="1">E7</f>
        <v>Cover Fees</v>
      </c>
      <c r="K7" s="143">
        <f t="shared" ref="K7:K15" si="2">F7/$F$16</f>
        <v>0.2</v>
      </c>
      <c r="L7" s="143">
        <f t="shared" ref="L7:L15" si="3">G7/$G$16</f>
        <v>0.19999999999999998</v>
      </c>
      <c r="M7" s="143">
        <f t="shared" ref="M7:M15" si="4">H7/$H$16</f>
        <v>0.19999999999999996</v>
      </c>
    </row>
    <row r="8" spans="5:13">
      <c r="E8" s="94" t="str">
        <f>Inputs!B7</f>
        <v>Food Sales</v>
      </c>
      <c r="F8" s="94">
        <f>SUM(Inputs!C34:N34)</f>
        <v>264528</v>
      </c>
      <c r="G8" s="94">
        <f t="shared" si="0"/>
        <v>290980.80000000005</v>
      </c>
      <c r="H8" s="94">
        <f t="shared" si="0"/>
        <v>320078.88000000006</v>
      </c>
      <c r="I8" s="127"/>
      <c r="J8" s="94" t="str">
        <f t="shared" si="1"/>
        <v>Food Sales</v>
      </c>
      <c r="K8" s="143">
        <f t="shared" si="2"/>
        <v>0.22857142857142856</v>
      </c>
      <c r="L8" s="143">
        <f t="shared" si="3"/>
        <v>0.22857142857142856</v>
      </c>
      <c r="M8" s="143">
        <f t="shared" si="4"/>
        <v>0.22857142857142856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1157310</v>
      </c>
      <c r="G16" s="99">
        <f>SUM(G6:G15)</f>
        <v>1273041.0000000002</v>
      </c>
      <c r="H16" s="99">
        <f>SUM(H6:H15)</f>
        <v>1400345.1000000003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5"/>
      <c r="K20" s="125"/>
      <c r="L20" s="125"/>
      <c r="M20" s="125"/>
    </row>
    <row r="21" spans="5:13">
      <c r="E21" s="94" t="str">
        <f>E6</f>
        <v>Beverage Sales</v>
      </c>
      <c r="F21" s="94">
        <f>SUM(Inputs!C51:N51)</f>
        <v>165330</v>
      </c>
      <c r="G21" s="94">
        <f t="shared" ref="G21:H30" si="5">F21*(1+G$20)</f>
        <v>181863.00000000003</v>
      </c>
      <c r="H21" s="94">
        <f t="shared" si="5"/>
        <v>200049.30000000005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Cover Fees</v>
      </c>
      <c r="F22" s="94">
        <f>SUM(Inputs!C52:N52)</f>
        <v>115731</v>
      </c>
      <c r="G22" s="94">
        <f t="shared" si="5"/>
        <v>127304.1</v>
      </c>
      <c r="H22" s="94">
        <f t="shared" si="5"/>
        <v>140034.51</v>
      </c>
      <c r="I22" s="127"/>
      <c r="J22" s="127"/>
      <c r="K22" s="127"/>
      <c r="L22" s="127"/>
      <c r="M22" s="127"/>
    </row>
    <row r="23" spans="5:13">
      <c r="E23" s="94" t="str">
        <f t="shared" si="6"/>
        <v>Food Sales</v>
      </c>
      <c r="F23" s="94">
        <f>SUM(Inputs!C53:N53)</f>
        <v>92584.799999999988</v>
      </c>
      <c r="G23" s="94">
        <f t="shared" si="5"/>
        <v>101843.28</v>
      </c>
      <c r="H23" s="94">
        <f t="shared" si="5"/>
        <v>112027.60800000001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373645.8</v>
      </c>
      <c r="G31" s="100">
        <f>SUM(G21:G30)</f>
        <v>411010.38</v>
      </c>
      <c r="H31" s="100">
        <f>SUM(H21:H30)</f>
        <v>452111.41800000006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5" sqref="E25"/>
    </sheetView>
  </sheetViews>
  <sheetFormatPr defaultRowHeight="15"/>
  <cols>
    <col min="4" max="4" width="41.28515625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132</v>
      </c>
      <c r="E6" s="6">
        <v>102500</v>
      </c>
    </row>
    <row r="7" spans="4:5">
      <c r="D7" s="21" t="s">
        <v>116</v>
      </c>
      <c r="E7" s="6">
        <v>12500</v>
      </c>
    </row>
    <row r="8" spans="4:5">
      <c r="D8" s="21" t="s">
        <v>115</v>
      </c>
      <c r="E8" s="6">
        <v>10000</v>
      </c>
    </row>
    <row r="9" spans="4:5">
      <c r="D9" s="21" t="s">
        <v>0</v>
      </c>
      <c r="E9" s="6">
        <v>25000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150000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99</v>
      </c>
      <c r="E22" s="14">
        <v>100000</v>
      </c>
    </row>
    <row r="23" spans="4:5">
      <c r="D23" s="4" t="s">
        <v>100</v>
      </c>
      <c r="E23" s="14">
        <f>SUM(E21:E22)</f>
        <v>150000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U9" sqref="U9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1157310</v>
      </c>
      <c r="F6" s="69">
        <f>'Revenue Overview'!G16</f>
        <v>1273041.0000000002</v>
      </c>
      <c r="G6" s="81">
        <f>'Revenue Overview'!H16</f>
        <v>1400345.1000000003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373645.8</v>
      </c>
      <c r="F7" s="71">
        <f>'Revenue Overview'!G31</f>
        <v>411010.38</v>
      </c>
      <c r="G7" s="80">
        <f>'Revenue Overview'!H31</f>
        <v>452111.41800000006</v>
      </c>
      <c r="H7" s="136"/>
      <c r="I7" s="136"/>
      <c r="J7" s="115"/>
      <c r="K7" s="112" t="s">
        <v>51</v>
      </c>
      <c r="L7" s="114">
        <f>E6</f>
        <v>1157310</v>
      </c>
      <c r="M7" s="114">
        <f>F6</f>
        <v>1273041.0000000002</v>
      </c>
      <c r="N7" s="114">
        <f>G6</f>
        <v>1400345.1000000003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0.67714285714285716</v>
      </c>
      <c r="F8" s="73">
        <f t="shared" ref="F8:G8" si="0">1-(F7/F6)</f>
        <v>0.67714285714285727</v>
      </c>
      <c r="G8" s="133">
        <f t="shared" si="0"/>
        <v>0.67714285714285716</v>
      </c>
      <c r="H8" s="138"/>
      <c r="I8" s="138"/>
      <c r="J8" s="115"/>
      <c r="K8" s="112" t="s">
        <v>76</v>
      </c>
      <c r="L8" s="114">
        <f>E6</f>
        <v>1157310</v>
      </c>
      <c r="M8" s="114">
        <f>F6</f>
        <v>1273041.0000000002</v>
      </c>
      <c r="N8" s="114">
        <f>G6</f>
        <v>1400345.1000000003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783664.2</v>
      </c>
      <c r="F10" s="76">
        <f t="shared" ref="F10:G10" si="1">F6-F7</f>
        <v>862030.62000000023</v>
      </c>
      <c r="G10" s="84">
        <f t="shared" si="1"/>
        <v>948233.68200000026</v>
      </c>
      <c r="H10" s="135"/>
      <c r="I10" s="135"/>
      <c r="J10" s="115"/>
      <c r="K10" s="112" t="s">
        <v>47</v>
      </c>
      <c r="L10" s="114">
        <f>E23</f>
        <v>201685.60100000002</v>
      </c>
      <c r="M10" s="114">
        <f>F23</f>
        <v>257517.26110000024</v>
      </c>
      <c r="N10" s="114">
        <f>G23</f>
        <v>319601.9802100003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201685.60100000002</v>
      </c>
      <c r="M11" s="114">
        <f t="shared" ref="M11:N11" si="2">M10</f>
        <v>257517.26110000024</v>
      </c>
      <c r="N11" s="114">
        <f t="shared" si="2"/>
        <v>319601.9802100003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420000</v>
      </c>
      <c r="F13" s="78">
        <f>'Personnel - Editable'!I16</f>
        <v>432600</v>
      </c>
      <c r="G13" s="78">
        <f>'Personnel - Editable'!J16</f>
        <v>445578</v>
      </c>
      <c r="H13" s="136"/>
      <c r="I13" s="136"/>
      <c r="J13" s="115"/>
      <c r="K13" s="112" t="s">
        <v>75</v>
      </c>
      <c r="L13" s="114">
        <f>E21</f>
        <v>581978.59899999993</v>
      </c>
      <c r="M13" s="114">
        <f>F21</f>
        <v>604513.35889999999</v>
      </c>
      <c r="N13" s="114">
        <f>G21</f>
        <v>628631.70178999996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50000</v>
      </c>
      <c r="F14" s="80">
        <f>Inputs!D18</f>
        <v>51500</v>
      </c>
      <c r="G14" s="80">
        <f>Inputs!E18</f>
        <v>53045</v>
      </c>
      <c r="H14" s="136"/>
      <c r="I14" s="136"/>
      <c r="J14" s="115"/>
      <c r="K14" s="112" t="s">
        <v>78</v>
      </c>
      <c r="L14" s="114">
        <f>E21</f>
        <v>581978.59899999993</v>
      </c>
      <c r="M14" s="114">
        <f>F21</f>
        <v>604513.35889999999</v>
      </c>
      <c r="N14" s="114">
        <f>G21</f>
        <v>628631.70178999996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18169.767</v>
      </c>
      <c r="F15" s="78">
        <f>Inputs!D19</f>
        <v>19986.743700000003</v>
      </c>
      <c r="G15" s="78">
        <f>Inputs!E19</f>
        <v>21985.418070000003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17591.112000000001</v>
      </c>
      <c r="F16" s="80">
        <f>Inputs!D20</f>
        <v>19350.223200000004</v>
      </c>
      <c r="G16" s="80">
        <f>Inputs!E20</f>
        <v>21285.245520000004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25200</v>
      </c>
      <c r="F17" s="78">
        <f>Inputs!D21</f>
        <v>25956</v>
      </c>
      <c r="G17" s="78">
        <f>Inputs!E21</f>
        <v>26734.68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13887.720000000001</v>
      </c>
      <c r="F18" s="80">
        <f>Inputs!D22</f>
        <v>15276.492000000004</v>
      </c>
      <c r="G18" s="80">
        <f>Inputs!E22</f>
        <v>16804.141200000005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32130</v>
      </c>
      <c r="F20" s="80">
        <f>F13*'Tax Assumptions '!G9</f>
        <v>33093.9</v>
      </c>
      <c r="G20" s="80">
        <f>G13*'Tax Assumptions '!H9</f>
        <v>34086.716999999997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581978.59899999993</v>
      </c>
      <c r="F21" s="81">
        <f t="shared" ref="F21:G21" si="3">SUM(F13:F20)</f>
        <v>604513.35889999999</v>
      </c>
      <c r="G21" s="81">
        <f t="shared" si="3"/>
        <v>628631.70178999996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201685.60100000002</v>
      </c>
      <c r="F23" s="83">
        <f t="shared" ref="F23:G23" si="4">F10-F21</f>
        <v>257517.26110000024</v>
      </c>
      <c r="G23" s="83">
        <f t="shared" si="4"/>
        <v>319601.9802100003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45736.975044245366</v>
      </c>
      <c r="F24" s="78">
        <f>(F23-F26-F27)*'Tax Assumptions '!G7</f>
        <v>59846.46775786674</v>
      </c>
      <c r="G24" s="78">
        <f>(G23-G26-G27)*'Tax Assumptions '!H7</f>
        <v>75533.444256713788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9147.3950088490728</v>
      </c>
      <c r="F25" s="80">
        <f>(F23-F26-F27)*'Tax Assumptions '!G8</f>
        <v>11969.293551573348</v>
      </c>
      <c r="G25" s="80">
        <f>(G23-G26-G27)*'Tax Assumptions '!H8</f>
        <v>15106.688851342758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8737.7008230185711</v>
      </c>
      <c r="F26" s="78">
        <f>SUM('Loan Amortization Table'!D26:D37)</f>
        <v>8131.3900685332646</v>
      </c>
      <c r="G26" s="78">
        <f>SUM('Loan Amortization Table'!D38:D49)</f>
        <v>7468.2031831451432</v>
      </c>
      <c r="H26" s="127"/>
      <c r="I26" s="127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27"/>
      <c r="I27" s="127"/>
    </row>
    <row r="28" spans="4:21">
      <c r="D28" s="82" t="s">
        <v>17</v>
      </c>
      <c r="E28" s="83">
        <f>E23-SUM(E24:E27)</f>
        <v>128063.53012388702</v>
      </c>
      <c r="F28" s="83">
        <f t="shared" ref="F28:G28" si="5">F23-SUM(F24:F27)</f>
        <v>167570.10972202689</v>
      </c>
      <c r="G28" s="83">
        <f t="shared" si="5"/>
        <v>211493.6439187986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1157310</v>
      </c>
      <c r="F32" s="69">
        <f t="shared" ref="F32:G32" si="6">F6</f>
        <v>1273041.0000000002</v>
      </c>
      <c r="G32" s="81">
        <f t="shared" si="6"/>
        <v>1400345.1000000003</v>
      </c>
      <c r="H32" s="131"/>
      <c r="I32" s="131"/>
    </row>
    <row r="33" spans="4:13">
      <c r="D33" s="70" t="s">
        <v>52</v>
      </c>
      <c r="E33" s="71">
        <f>E7</f>
        <v>373645.8</v>
      </c>
      <c r="F33" s="71">
        <f t="shared" ref="F33:G33" si="7">F7</f>
        <v>411010.38</v>
      </c>
      <c r="G33" s="80">
        <f t="shared" si="7"/>
        <v>452111.41800000006</v>
      </c>
      <c r="H33" s="127"/>
      <c r="I33" s="127"/>
    </row>
    <row r="34" spans="4:13">
      <c r="D34" s="68" t="s">
        <v>10</v>
      </c>
      <c r="E34" s="69">
        <f>E10</f>
        <v>783664.2</v>
      </c>
      <c r="F34" s="69">
        <f t="shared" ref="F34:G34" si="8">F10</f>
        <v>862030.62000000023</v>
      </c>
      <c r="G34" s="81">
        <f t="shared" si="8"/>
        <v>948233.68200000026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581978.59899999993</v>
      </c>
      <c r="F35" s="84">
        <f t="shared" ref="F35:G35" si="9">F21</f>
        <v>604513.35889999999</v>
      </c>
      <c r="G35" s="84">
        <f t="shared" si="9"/>
        <v>628631.70178999996</v>
      </c>
      <c r="H35" s="131"/>
      <c r="I35" s="131"/>
    </row>
    <row r="36" spans="4:13">
      <c r="D36" s="82" t="s">
        <v>47</v>
      </c>
      <c r="E36" s="83">
        <f>E23</f>
        <v>201685.60100000002</v>
      </c>
      <c r="F36" s="83">
        <f t="shared" ref="F36:G36" si="10">F23</f>
        <v>257517.26110000024</v>
      </c>
      <c r="G36" s="83">
        <f t="shared" si="10"/>
        <v>319601.9802100003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T30"/>
  <sheetViews>
    <sheetView showGridLines="0" workbookViewId="0">
      <selection activeCell="U7" sqref="U7"/>
    </sheetView>
  </sheetViews>
  <sheetFormatPr defaultRowHeight="15"/>
  <cols>
    <col min="4" max="4" width="25.5703125" customWidth="1"/>
    <col min="5" max="9" width="12.7109375" customWidth="1"/>
  </cols>
  <sheetData>
    <row r="4" spans="4:20">
      <c r="D4" s="64" t="s">
        <v>66</v>
      </c>
      <c r="E4" s="65"/>
      <c r="F4" s="65"/>
      <c r="G4" s="65"/>
      <c r="H4" s="63"/>
      <c r="I4" s="63"/>
    </row>
    <row r="5" spans="4:20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20">
      <c r="D6" s="68" t="s">
        <v>67</v>
      </c>
      <c r="E6" s="81">
        <f>'Profit and Loss Statement'!E28+'Profit and Loss Statement'!E27</f>
        <v>138063.530123887</v>
      </c>
      <c r="F6" s="81">
        <f>'Profit and Loss Statement'!F28+'Profit and Loss Statement'!F27</f>
        <v>177570.10972202689</v>
      </c>
      <c r="G6" s="81">
        <f>'Profit and Loss Statement'!G28+'Profit and Loss Statement'!G27</f>
        <v>221493.6439187986</v>
      </c>
      <c r="H6" s="131"/>
      <c r="I6" s="131"/>
    </row>
    <row r="7" spans="4:20">
      <c r="D7" s="74"/>
      <c r="E7" s="74"/>
      <c r="F7" s="74"/>
      <c r="G7" s="74"/>
      <c r="H7" s="63"/>
      <c r="I7" s="63"/>
      <c r="T7" s="112" t="s">
        <v>135</v>
      </c>
    </row>
    <row r="8" spans="4:20">
      <c r="D8" s="86" t="s">
        <v>19</v>
      </c>
      <c r="E8" s="74"/>
      <c r="F8" s="74"/>
      <c r="G8" s="74"/>
      <c r="H8" s="63"/>
      <c r="I8" s="63"/>
    </row>
    <row r="9" spans="4:20">
      <c r="D9" s="72" t="s">
        <v>20</v>
      </c>
      <c r="E9" s="87">
        <f>'Use of Funds'!E21</f>
        <v>50000</v>
      </c>
      <c r="F9" s="87">
        <v>0</v>
      </c>
      <c r="G9" s="87">
        <v>0</v>
      </c>
      <c r="H9" s="130"/>
      <c r="I9" s="130"/>
    </row>
    <row r="10" spans="4:20">
      <c r="D10" s="70" t="s">
        <v>21</v>
      </c>
      <c r="E10" s="88">
        <f>'Use of Funds'!E22</f>
        <v>100000</v>
      </c>
      <c r="F10" s="88">
        <v>0</v>
      </c>
      <c r="G10" s="88">
        <v>0</v>
      </c>
      <c r="H10" s="130"/>
      <c r="I10" s="130"/>
    </row>
    <row r="11" spans="4:20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20">
      <c r="D12" s="75" t="s">
        <v>23</v>
      </c>
      <c r="E12" s="89">
        <f>SUM(E9:E11)</f>
        <v>160000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20">
      <c r="D13" s="74"/>
      <c r="E13" s="74"/>
      <c r="F13" s="74"/>
      <c r="G13" s="74"/>
      <c r="H13" s="63"/>
      <c r="I13" s="63"/>
    </row>
    <row r="14" spans="4:20">
      <c r="D14" s="74"/>
      <c r="E14" s="74"/>
      <c r="F14" s="74"/>
      <c r="G14" s="74"/>
      <c r="H14" s="63"/>
      <c r="I14" s="63"/>
    </row>
    <row r="15" spans="4:20">
      <c r="D15" s="68" t="s">
        <v>18</v>
      </c>
      <c r="E15" s="90">
        <f>E12+E6</f>
        <v>298063.530123887</v>
      </c>
      <c r="F15" s="90">
        <f t="shared" ref="F15:G15" si="1">F12+F6</f>
        <v>187770.10972202689</v>
      </c>
      <c r="G15" s="90">
        <f t="shared" si="1"/>
        <v>231897.6439187986</v>
      </c>
      <c r="H15" s="132"/>
      <c r="I15" s="132"/>
    </row>
    <row r="16" spans="4:20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6463.3920270113676</v>
      </c>
      <c r="F18" s="80">
        <f>SUM('Loan Amortization Table'!C26:C37)</f>
        <v>7069.7027814966732</v>
      </c>
      <c r="G18" s="80">
        <f>SUM('Loan Amortization Table'!C38:C49)</f>
        <v>7732.8896668847947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Funds'!$E$6</f>
        <v>102500</v>
      </c>
      <c r="F20" s="80">
        <f>F6*0.05</f>
        <v>8878.505486101345</v>
      </c>
      <c r="G20" s="80">
        <f>G6*0.05</f>
        <v>11074.682195939931</v>
      </c>
      <c r="H20" s="127"/>
      <c r="I20" s="127"/>
    </row>
    <row r="21" spans="4:9">
      <c r="D21" s="72" t="s">
        <v>32</v>
      </c>
      <c r="E21" s="78">
        <f>E6*0.6</f>
        <v>82838.118074332204</v>
      </c>
      <c r="F21" s="78">
        <f t="shared" ref="F21:G21" si="3">F6*0.6</f>
        <v>106542.06583321613</v>
      </c>
      <c r="G21" s="78">
        <f t="shared" si="3"/>
        <v>132896.18635127915</v>
      </c>
      <c r="H21" s="127"/>
      <c r="I21" s="127"/>
    </row>
    <row r="22" spans="4:9">
      <c r="D22" s="75" t="s">
        <v>26</v>
      </c>
      <c r="E22" s="84">
        <f>SUM(E18:E21)</f>
        <v>198801.51010134356</v>
      </c>
      <c r="F22" s="84">
        <f t="shared" ref="F22:G22" si="4">SUM(F18:F21)</f>
        <v>129630.27410081415</v>
      </c>
      <c r="G22" s="84">
        <f t="shared" si="4"/>
        <v>158986.55821410386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99262.020022543438</v>
      </c>
      <c r="F24" s="91">
        <f t="shared" ref="F24:G24" si="5">F15-F22</f>
        <v>58139.83562121274</v>
      </c>
      <c r="G24" s="91">
        <f t="shared" si="5"/>
        <v>72911.085704694735</v>
      </c>
      <c r="H24" s="132"/>
      <c r="I24" s="132"/>
    </row>
    <row r="25" spans="4:9">
      <c r="D25" s="82" t="s">
        <v>6</v>
      </c>
      <c r="E25" s="91">
        <f>E24</f>
        <v>99262.020022543438</v>
      </c>
      <c r="F25" s="91">
        <f>E25+F24</f>
        <v>157401.85564375616</v>
      </c>
      <c r="G25" s="91">
        <f>F25+G24</f>
        <v>230312.9413484509</v>
      </c>
      <c r="H25" s="132"/>
      <c r="I25" s="132"/>
    </row>
    <row r="28" spans="4:9">
      <c r="D28" s="112" t="s">
        <v>79</v>
      </c>
      <c r="E28" s="114">
        <f>E6</f>
        <v>138063.530123887</v>
      </c>
      <c r="F28" s="114">
        <f t="shared" ref="F28:G28" si="6">F6</f>
        <v>177570.10972202689</v>
      </c>
      <c r="G28" s="114">
        <f t="shared" si="6"/>
        <v>221493.6439187986</v>
      </c>
      <c r="H28" s="1"/>
      <c r="I28" s="1"/>
    </row>
    <row r="29" spans="4:9">
      <c r="D29" s="112" t="s">
        <v>80</v>
      </c>
      <c r="E29" s="114">
        <f>E18</f>
        <v>6463.3920270113676</v>
      </c>
      <c r="F29" s="114">
        <f t="shared" ref="F29:G29" si="7">F18</f>
        <v>7069.7027814966732</v>
      </c>
      <c r="G29" s="114">
        <f t="shared" si="7"/>
        <v>7732.8896668847947</v>
      </c>
      <c r="H29" s="1"/>
      <c r="I29" s="1"/>
    </row>
    <row r="30" spans="4:9">
      <c r="D30" s="112" t="s">
        <v>81</v>
      </c>
      <c r="E30" s="114">
        <f>E21</f>
        <v>82838.118074332204</v>
      </c>
      <c r="F30" s="114">
        <f t="shared" ref="F30:G30" si="8">F21</f>
        <v>106542.06583321613</v>
      </c>
      <c r="G30" s="114">
        <f t="shared" si="8"/>
        <v>132896.18635127915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L41" sqref="L4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99262.020022543438</v>
      </c>
      <c r="F7" s="78">
        <f>'Cash Flow Analysis'!F25</f>
        <v>157401.85564375616</v>
      </c>
      <c r="G7" s="78">
        <f>'Cash Flow Analysis'!G25</f>
        <v>230312.9413484509</v>
      </c>
      <c r="H7" s="127"/>
      <c r="I7" s="127"/>
    </row>
    <row r="8" spans="4:9">
      <c r="D8" s="66" t="s">
        <v>126</v>
      </c>
      <c r="E8" s="94">
        <f>'Cash Flow Analysis'!E20</f>
        <v>102500</v>
      </c>
      <c r="F8" s="94">
        <f>E8+'Cash Flow Analysis'!F20</f>
        <v>111378.50548610135</v>
      </c>
      <c r="G8" s="94">
        <f>F8+'Cash Flow Analysis'!G20</f>
        <v>122453.18768204129</v>
      </c>
      <c r="H8" s="127"/>
      <c r="I8" s="127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0"/>
      <c r="I9" s="130"/>
    </row>
    <row r="10" spans="4:9">
      <c r="D10" s="95" t="s">
        <v>7</v>
      </c>
      <c r="E10" s="96">
        <f>SUM(E7:E9)</f>
        <v>191762.02002254344</v>
      </c>
      <c r="F10" s="96">
        <f t="shared" ref="F10:G10" si="0">SUM(F7:F9)</f>
        <v>248780.36112985748</v>
      </c>
      <c r="G10" s="96">
        <f t="shared" si="0"/>
        <v>322766.12903049216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93536.607972988626</v>
      </c>
      <c r="F14" s="94">
        <f>'Loan Amortization Table'!E37</f>
        <v>86466.90519149194</v>
      </c>
      <c r="G14" s="94">
        <f>'Loan Amortization Table'!E49</f>
        <v>78734.015524607152</v>
      </c>
      <c r="H14" s="127"/>
      <c r="I14" s="127"/>
    </row>
    <row r="15" spans="4:9">
      <c r="D15" s="68" t="s">
        <v>30</v>
      </c>
      <c r="E15" s="81">
        <f>SUM(E13:E14)</f>
        <v>96536.607972988626</v>
      </c>
      <c r="F15" s="81">
        <f t="shared" ref="F15:G15" si="1">SUM(F13:F14)</f>
        <v>92526.90519149194</v>
      </c>
      <c r="G15" s="81">
        <f t="shared" si="1"/>
        <v>87915.215524607149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95225.412049554812</v>
      </c>
      <c r="F17" s="83">
        <f t="shared" ref="F17:G17" si="2">F10-F15</f>
        <v>156253.45593836554</v>
      </c>
      <c r="G17" s="83">
        <f t="shared" si="2"/>
        <v>234850.91350588499</v>
      </c>
      <c r="H17" s="131"/>
      <c r="I17" s="131"/>
    </row>
    <row r="18" spans="4:9">
      <c r="D18" s="82" t="s">
        <v>31</v>
      </c>
      <c r="E18" s="83">
        <f>E15+E17</f>
        <v>191762.02002254344</v>
      </c>
      <c r="F18" s="83">
        <f t="shared" ref="F18:G18" si="3">F15+F17</f>
        <v>248780.36112985748</v>
      </c>
      <c r="G18" s="83">
        <f t="shared" si="3"/>
        <v>322766.12903049216</v>
      </c>
      <c r="H18" s="131"/>
      <c r="I18" s="131"/>
    </row>
    <row r="21" spans="4:9">
      <c r="D21" s="112" t="s">
        <v>82</v>
      </c>
      <c r="E21" s="114">
        <f>E10-1</f>
        <v>191761.02002254344</v>
      </c>
      <c r="F21" s="114">
        <f t="shared" ref="F21:G21" si="4">F10-1</f>
        <v>248779.36112985748</v>
      </c>
      <c r="G21" s="114">
        <f t="shared" si="4"/>
        <v>322765.12903049216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96536.607972988626</v>
      </c>
      <c r="F22" s="114">
        <f t="shared" ref="F22:G22" si="6">F15</f>
        <v>92526.90519149194</v>
      </c>
      <c r="G22" s="114">
        <f t="shared" si="6"/>
        <v>87915.215524607149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95225.412049554812</v>
      </c>
      <c r="F23" s="114">
        <f t="shared" ref="F23:G23" si="8">F17</f>
        <v>156253.45593836554</v>
      </c>
      <c r="G23" s="114">
        <f t="shared" si="8"/>
        <v>234850.91350588499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topLeftCell="A2" workbookViewId="0">
      <selection activeCell="T10" sqref="T10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96250</v>
      </c>
      <c r="D6" s="6">
        <f>Inputs!D42</f>
        <v>96285</v>
      </c>
      <c r="E6" s="6">
        <f>Inputs!E42</f>
        <v>96320</v>
      </c>
      <c r="F6" s="6">
        <f>Inputs!F42</f>
        <v>96355</v>
      </c>
      <c r="G6" s="6">
        <f>Inputs!G42</f>
        <v>96390</v>
      </c>
      <c r="H6" s="6">
        <f>Inputs!H42</f>
        <v>96425</v>
      </c>
      <c r="I6" s="6">
        <f>Inputs!I42</f>
        <v>96460</v>
      </c>
    </row>
    <row r="7" spans="2:9">
      <c r="B7" s="31" t="s">
        <v>52</v>
      </c>
      <c r="C7" s="6">
        <f>Inputs!C61</f>
        <v>31075</v>
      </c>
      <c r="D7" s="6">
        <f>Inputs!D61</f>
        <v>31086.3</v>
      </c>
      <c r="E7" s="6">
        <f>Inputs!E61</f>
        <v>31097.599999999999</v>
      </c>
      <c r="F7" s="6">
        <f>Inputs!F61</f>
        <v>31108.9</v>
      </c>
      <c r="G7" s="6">
        <f>Inputs!G61</f>
        <v>31120.2</v>
      </c>
      <c r="H7" s="6">
        <f>Inputs!H61</f>
        <v>31131.5</v>
      </c>
      <c r="I7" s="6">
        <f>Inputs!I61</f>
        <v>31142.799999999999</v>
      </c>
    </row>
    <row r="8" spans="2:9">
      <c r="B8" s="29" t="s">
        <v>12</v>
      </c>
      <c r="C8" s="17">
        <f>1-(C7/C6)</f>
        <v>0.67714285714285716</v>
      </c>
      <c r="D8" s="17">
        <f t="shared" ref="D8:I8" si="1">1-(D7/D6)</f>
        <v>0.67714285714285716</v>
      </c>
      <c r="E8" s="17">
        <f t="shared" si="1"/>
        <v>0.67714285714285716</v>
      </c>
      <c r="F8" s="17">
        <f t="shared" si="1"/>
        <v>0.67714285714285705</v>
      </c>
      <c r="G8" s="17">
        <f t="shared" si="1"/>
        <v>0.67714285714285716</v>
      </c>
      <c r="H8" s="17">
        <f t="shared" si="1"/>
        <v>0.67714285714285716</v>
      </c>
      <c r="I8" s="17">
        <f t="shared" si="1"/>
        <v>0.67714285714285716</v>
      </c>
    </row>
    <row r="9" spans="2:9">
      <c r="B9" s="30"/>
    </row>
    <row r="10" spans="2:9">
      <c r="B10" s="37" t="s">
        <v>10</v>
      </c>
      <c r="C10" s="6">
        <f>C6-C7</f>
        <v>65175</v>
      </c>
      <c r="D10" s="6">
        <f t="shared" ref="D10:I10" si="2">D6-D7</f>
        <v>65198.7</v>
      </c>
      <c r="E10" s="6">
        <f t="shared" si="2"/>
        <v>65222.400000000001</v>
      </c>
      <c r="F10" s="6">
        <f t="shared" si="2"/>
        <v>65246.1</v>
      </c>
      <c r="G10" s="6">
        <f t="shared" si="2"/>
        <v>65269.8</v>
      </c>
      <c r="H10" s="6">
        <f t="shared" si="2"/>
        <v>65293.5</v>
      </c>
      <c r="I10" s="6">
        <f t="shared" si="2"/>
        <v>65317.2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35000</v>
      </c>
      <c r="D13" s="6">
        <f t="shared" ref="D13:I13" si="3">$H$41/12</f>
        <v>35000</v>
      </c>
      <c r="E13" s="6">
        <f t="shared" si="3"/>
        <v>35000</v>
      </c>
      <c r="F13" s="6">
        <f t="shared" si="3"/>
        <v>35000</v>
      </c>
      <c r="G13" s="6">
        <f t="shared" si="3"/>
        <v>35000</v>
      </c>
      <c r="H13" s="6">
        <f t="shared" si="3"/>
        <v>35000</v>
      </c>
      <c r="I13" s="6">
        <f t="shared" si="3"/>
        <v>35000</v>
      </c>
    </row>
    <row r="14" spans="2:9">
      <c r="B14" s="33" t="str">
        <f>'Profit and Loss Statement'!D14</f>
        <v>Facility Costs</v>
      </c>
      <c r="C14" s="6">
        <f>$H$42/12</f>
        <v>4166.666666666667</v>
      </c>
      <c r="D14" s="6">
        <f t="shared" ref="D14:I14" si="4">$H$42/12</f>
        <v>4166.666666666667</v>
      </c>
      <c r="E14" s="6">
        <f t="shared" si="4"/>
        <v>4166.666666666667</v>
      </c>
      <c r="F14" s="6">
        <f t="shared" si="4"/>
        <v>4166.666666666667</v>
      </c>
      <c r="G14" s="6">
        <f t="shared" si="4"/>
        <v>4166.666666666667</v>
      </c>
      <c r="H14" s="6">
        <f t="shared" si="4"/>
        <v>4166.666666666667</v>
      </c>
      <c r="I14" s="6">
        <f t="shared" si="4"/>
        <v>4166.666666666667</v>
      </c>
    </row>
    <row r="15" spans="2:9">
      <c r="B15" s="33" t="str">
        <f>'Profit and Loss Statement'!D15</f>
        <v>General and Administrative</v>
      </c>
      <c r="C15" s="6">
        <f>$H$43/12</f>
        <v>1514.14725</v>
      </c>
      <c r="D15" s="6">
        <f t="shared" ref="D15:I15" si="5">$H$43/12</f>
        <v>1514.14725</v>
      </c>
      <c r="E15" s="6">
        <f t="shared" si="5"/>
        <v>1514.14725</v>
      </c>
      <c r="F15" s="6">
        <f t="shared" si="5"/>
        <v>1514.14725</v>
      </c>
      <c r="G15" s="6">
        <f t="shared" si="5"/>
        <v>1514.14725</v>
      </c>
      <c r="H15" s="6">
        <f t="shared" si="5"/>
        <v>1514.14725</v>
      </c>
      <c r="I15" s="6">
        <f t="shared" si="5"/>
        <v>1514.14725</v>
      </c>
    </row>
    <row r="16" spans="2:9">
      <c r="B16" s="33" t="str">
        <f>'Profit and Loss Statement'!D16</f>
        <v>Equipment Costs</v>
      </c>
      <c r="C16" s="6">
        <f>$H$44/12</f>
        <v>1465.9260000000002</v>
      </c>
      <c r="D16" s="6">
        <f t="shared" ref="D16:I16" si="6">$H$44/12</f>
        <v>1465.9260000000002</v>
      </c>
      <c r="E16" s="6">
        <f t="shared" si="6"/>
        <v>1465.9260000000002</v>
      </c>
      <c r="F16" s="6">
        <f t="shared" si="6"/>
        <v>1465.9260000000002</v>
      </c>
      <c r="G16" s="6">
        <f t="shared" si="6"/>
        <v>1465.9260000000002</v>
      </c>
      <c r="H16" s="6">
        <f t="shared" si="6"/>
        <v>1465.9260000000002</v>
      </c>
      <c r="I16" s="6">
        <f t="shared" si="6"/>
        <v>1465.9260000000002</v>
      </c>
    </row>
    <row r="17" spans="2:9">
      <c r="B17" s="33" t="str">
        <f>'Profit and Loss Statement'!D17</f>
        <v>Insurance Costs</v>
      </c>
      <c r="C17" s="6">
        <f>$H$45/12</f>
        <v>2100</v>
      </c>
      <c r="D17" s="6">
        <f t="shared" ref="D17:I17" si="7">$H$45/12</f>
        <v>2100</v>
      </c>
      <c r="E17" s="6">
        <f t="shared" si="7"/>
        <v>2100</v>
      </c>
      <c r="F17" s="6">
        <f t="shared" si="7"/>
        <v>2100</v>
      </c>
      <c r="G17" s="6">
        <f t="shared" si="7"/>
        <v>2100</v>
      </c>
      <c r="H17" s="6">
        <f t="shared" si="7"/>
        <v>2100</v>
      </c>
      <c r="I17" s="6">
        <f t="shared" si="7"/>
        <v>2100</v>
      </c>
    </row>
    <row r="18" spans="2:9">
      <c r="B18" s="33" t="str">
        <f>'Profit and Loss Statement'!D18</f>
        <v>Marketing</v>
      </c>
      <c r="C18" s="6">
        <f>$H$46/12</f>
        <v>1157.3100000000002</v>
      </c>
      <c r="D18" s="6">
        <f t="shared" ref="D18:I18" si="8">$H$46/12</f>
        <v>1157.3100000000002</v>
      </c>
      <c r="E18" s="6">
        <f t="shared" si="8"/>
        <v>1157.3100000000002</v>
      </c>
      <c r="F18" s="6">
        <f t="shared" si="8"/>
        <v>1157.3100000000002</v>
      </c>
      <c r="G18" s="6">
        <f t="shared" si="8"/>
        <v>1157.3100000000002</v>
      </c>
      <c r="H18" s="6">
        <f t="shared" si="8"/>
        <v>1157.3100000000002</v>
      </c>
      <c r="I18" s="6">
        <f t="shared" si="8"/>
        <v>1157.3100000000002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2677.5</v>
      </c>
      <c r="D20" s="6">
        <f t="shared" ref="D20:I20" si="10">$H$48/12</f>
        <v>2677.5</v>
      </c>
      <c r="E20" s="6">
        <f t="shared" si="10"/>
        <v>2677.5</v>
      </c>
      <c r="F20" s="6">
        <f t="shared" si="10"/>
        <v>2677.5</v>
      </c>
      <c r="G20" s="6">
        <f t="shared" si="10"/>
        <v>2677.5</v>
      </c>
      <c r="H20" s="6">
        <f t="shared" si="10"/>
        <v>2677.5</v>
      </c>
      <c r="I20" s="6">
        <f t="shared" si="10"/>
        <v>2677.5</v>
      </c>
    </row>
    <row r="21" spans="2:9">
      <c r="B21" s="28" t="s">
        <v>8</v>
      </c>
      <c r="C21" s="6">
        <f>SUM(C13:C20)</f>
        <v>48498.216583333327</v>
      </c>
      <c r="D21" s="6">
        <f t="shared" ref="D21:I21" si="11">SUM(D13:D20)</f>
        <v>48498.216583333327</v>
      </c>
      <c r="E21" s="6">
        <f t="shared" si="11"/>
        <v>48498.216583333327</v>
      </c>
      <c r="F21" s="6">
        <f t="shared" si="11"/>
        <v>48498.216583333327</v>
      </c>
      <c r="G21" s="6">
        <f t="shared" si="11"/>
        <v>48498.216583333327</v>
      </c>
      <c r="H21" s="6">
        <f t="shared" si="11"/>
        <v>48498.216583333327</v>
      </c>
      <c r="I21" s="6">
        <f t="shared" si="11"/>
        <v>48498.216583333327</v>
      </c>
    </row>
    <row r="22" spans="2:9">
      <c r="B22" s="30"/>
    </row>
    <row r="23" spans="2:9">
      <c r="B23" s="24" t="s">
        <v>47</v>
      </c>
      <c r="C23" s="25">
        <f>C10-C21</f>
        <v>16676.783416666673</v>
      </c>
      <c r="D23" s="25">
        <f t="shared" ref="D23:I23" si="12">D10-D21</f>
        <v>16700.48341666667</v>
      </c>
      <c r="E23" s="25">
        <f t="shared" si="12"/>
        <v>16724.183416666674</v>
      </c>
      <c r="F23" s="25">
        <f t="shared" si="12"/>
        <v>16747.883416666671</v>
      </c>
      <c r="G23" s="25">
        <f t="shared" si="12"/>
        <v>16771.583416666675</v>
      </c>
      <c r="H23" s="25">
        <f t="shared" si="12"/>
        <v>16795.283416666673</v>
      </c>
      <c r="I23" s="25">
        <f t="shared" si="12"/>
        <v>16818.98341666667</v>
      </c>
    </row>
    <row r="24" spans="2:9">
      <c r="B24" s="29" t="s">
        <v>15</v>
      </c>
      <c r="C24" s="6">
        <f>(C6/$H$34)*$H$52</f>
        <v>3803.8069730742986</v>
      </c>
      <c r="D24" s="6">
        <f t="shared" ref="D24:I24" si="13">(D6/$H$34)*$H$52</f>
        <v>3805.1901756099619</v>
      </c>
      <c r="E24" s="6">
        <f t="shared" si="13"/>
        <v>3806.5733781456256</v>
      </c>
      <c r="F24" s="6">
        <f t="shared" si="13"/>
        <v>3807.9565806812884</v>
      </c>
      <c r="G24" s="6">
        <f t="shared" si="13"/>
        <v>3809.3397832169521</v>
      </c>
      <c r="H24" s="6">
        <f t="shared" si="13"/>
        <v>3810.7229857526158</v>
      </c>
      <c r="I24" s="6">
        <f t="shared" si="13"/>
        <v>3812.1061882882786</v>
      </c>
    </row>
    <row r="25" spans="2:9">
      <c r="B25" s="29" t="s">
        <v>102</v>
      </c>
      <c r="C25" s="6">
        <f>(C6/$H$34)*$H$53</f>
        <v>760.76139461485968</v>
      </c>
      <c r="D25" s="6">
        <f t="shared" ref="D25:I25" si="14">(D6/$H$34)*$H$53</f>
        <v>761.03803512199238</v>
      </c>
      <c r="E25" s="6">
        <f t="shared" si="14"/>
        <v>761.31467562912508</v>
      </c>
      <c r="F25" s="6">
        <f t="shared" si="14"/>
        <v>761.59131613625766</v>
      </c>
      <c r="G25" s="6">
        <f t="shared" si="14"/>
        <v>761.86795664339036</v>
      </c>
      <c r="H25" s="6">
        <f t="shared" si="14"/>
        <v>762.14459715052317</v>
      </c>
      <c r="I25" s="6">
        <f t="shared" si="14"/>
        <v>762.42123765765575</v>
      </c>
    </row>
    <row r="26" spans="2:9">
      <c r="B26" s="29" t="s">
        <v>16</v>
      </c>
      <c r="C26" s="6">
        <f>'Loan Amortization Table'!D14</f>
        <v>750</v>
      </c>
      <c r="D26" s="6">
        <f>'Loan Amortization Table'!D15</f>
        <v>746.12431696873125</v>
      </c>
      <c r="E26" s="6">
        <f>'Loan Amortization Table'!D16</f>
        <v>742.21956631472801</v>
      </c>
      <c r="F26" s="6">
        <f>'Loan Amortization Table'!D17</f>
        <v>738.2855300308197</v>
      </c>
      <c r="G26" s="6">
        <f>'Loan Amortization Table'!D18</f>
        <v>734.32198847478219</v>
      </c>
      <c r="H26" s="6">
        <f>'Loan Amortization Table'!D19</f>
        <v>730.3287203570743</v>
      </c>
      <c r="I26" s="6">
        <f>'Loan Amortization Table'!D20</f>
        <v>726.3055027284837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10528.88171564418</v>
      </c>
      <c r="D28" s="39">
        <f t="shared" ref="D28:I28" si="16">D23-SUM(D24:D27)</f>
        <v>10554.797555632651</v>
      </c>
      <c r="E28" s="39">
        <f t="shared" si="16"/>
        <v>10580.742463243863</v>
      </c>
      <c r="F28" s="39">
        <f t="shared" si="16"/>
        <v>10606.716656484972</v>
      </c>
      <c r="G28" s="39">
        <f t="shared" si="16"/>
        <v>10632.720354998219</v>
      </c>
      <c r="H28" s="39">
        <f t="shared" si="16"/>
        <v>10658.753780073126</v>
      </c>
      <c r="I28" s="39">
        <f t="shared" si="16"/>
        <v>10684.817154658918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96495</v>
      </c>
      <c r="D34" s="6">
        <f>Inputs!K42</f>
        <v>96530</v>
      </c>
      <c r="E34" s="6">
        <f>Inputs!L42</f>
        <v>96565</v>
      </c>
      <c r="F34" s="6">
        <f>Inputs!M42</f>
        <v>96600</v>
      </c>
      <c r="G34" s="6">
        <f>Inputs!N42</f>
        <v>96635</v>
      </c>
      <c r="H34" s="6">
        <f>'Profit and Loss Statement'!E6</f>
        <v>1157310</v>
      </c>
    </row>
    <row r="35" spans="2:8">
      <c r="B35" s="31" t="s">
        <v>52</v>
      </c>
      <c r="C35" s="6">
        <f>Inputs!J61</f>
        <v>31154.1</v>
      </c>
      <c r="D35" s="6">
        <f>Inputs!K61</f>
        <v>31165.4</v>
      </c>
      <c r="E35" s="6">
        <f>Inputs!L61</f>
        <v>31176.7</v>
      </c>
      <c r="F35" s="6">
        <f>Inputs!M61</f>
        <v>31188</v>
      </c>
      <c r="G35" s="6">
        <f>Inputs!N61</f>
        <v>31199.3</v>
      </c>
      <c r="H35" s="6">
        <f>'Profit and Loss Statement'!E7</f>
        <v>373645.8</v>
      </c>
    </row>
    <row r="36" spans="2:8">
      <c r="B36" s="29" t="s">
        <v>12</v>
      </c>
      <c r="C36" s="17">
        <f>1-(C35/C34)</f>
        <v>0.67714285714285716</v>
      </c>
      <c r="D36" s="17">
        <f t="shared" ref="D36:H36" si="18">1-(D35/D34)</f>
        <v>0.67714285714285705</v>
      </c>
      <c r="E36" s="17">
        <f t="shared" si="18"/>
        <v>0.67714285714285716</v>
      </c>
      <c r="F36" s="17">
        <f t="shared" si="18"/>
        <v>0.67714285714285716</v>
      </c>
      <c r="G36" s="17">
        <f t="shared" si="18"/>
        <v>0.67714285714285716</v>
      </c>
      <c r="H36" s="17">
        <f t="shared" si="18"/>
        <v>0.67714285714285716</v>
      </c>
    </row>
    <row r="37" spans="2:8">
      <c r="B37" s="30"/>
    </row>
    <row r="38" spans="2:8">
      <c r="B38" s="37" t="s">
        <v>10</v>
      </c>
      <c r="C38" s="6">
        <f>C34-C35</f>
        <v>65340.9</v>
      </c>
      <c r="D38" s="6">
        <f t="shared" ref="D38:H38" si="19">D34-D35</f>
        <v>65364.6</v>
      </c>
      <c r="E38" s="6">
        <f t="shared" si="19"/>
        <v>65388.3</v>
      </c>
      <c r="F38" s="6">
        <f t="shared" si="19"/>
        <v>65412</v>
      </c>
      <c r="G38" s="6">
        <f t="shared" si="19"/>
        <v>65435.7</v>
      </c>
      <c r="H38" s="6">
        <f t="shared" si="19"/>
        <v>783664.2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35000</v>
      </c>
      <c r="D41" s="6">
        <f t="shared" ref="D41:G41" si="20">$H$41/12</f>
        <v>35000</v>
      </c>
      <c r="E41" s="6">
        <f t="shared" si="20"/>
        <v>35000</v>
      </c>
      <c r="F41" s="6">
        <f t="shared" si="20"/>
        <v>35000</v>
      </c>
      <c r="G41" s="6">
        <f t="shared" si="20"/>
        <v>35000</v>
      </c>
      <c r="H41" s="6">
        <f>'Profit and Loss Statement'!E13</f>
        <v>420000</v>
      </c>
    </row>
    <row r="42" spans="2:8">
      <c r="B42" s="33" t="str">
        <f>B14</f>
        <v>Facility Costs</v>
      </c>
      <c r="C42" s="6">
        <f>$H$42/12</f>
        <v>4166.666666666667</v>
      </c>
      <c r="D42" s="6">
        <f t="shared" ref="D42:G42" si="21">$H$42/12</f>
        <v>4166.666666666667</v>
      </c>
      <c r="E42" s="6">
        <f t="shared" si="21"/>
        <v>4166.666666666667</v>
      </c>
      <c r="F42" s="6">
        <f t="shared" si="21"/>
        <v>4166.666666666667</v>
      </c>
      <c r="G42" s="6">
        <f t="shared" si="21"/>
        <v>4166.666666666667</v>
      </c>
      <c r="H42" s="6">
        <f>'Profit and Loss Statement'!E14</f>
        <v>50000</v>
      </c>
    </row>
    <row r="43" spans="2:8">
      <c r="B43" s="33" t="str">
        <f t="shared" ref="B43:B47" si="22">B15</f>
        <v>General and Administrative</v>
      </c>
      <c r="C43" s="6">
        <f>$H$43/12</f>
        <v>1514.14725</v>
      </c>
      <c r="D43" s="6">
        <f t="shared" ref="D43:G43" si="23">$H$43/12</f>
        <v>1514.14725</v>
      </c>
      <c r="E43" s="6">
        <f t="shared" si="23"/>
        <v>1514.14725</v>
      </c>
      <c r="F43" s="6">
        <f t="shared" si="23"/>
        <v>1514.14725</v>
      </c>
      <c r="G43" s="6">
        <f t="shared" si="23"/>
        <v>1514.14725</v>
      </c>
      <c r="H43" s="6">
        <f>'Profit and Loss Statement'!E15</f>
        <v>18169.767</v>
      </c>
    </row>
    <row r="44" spans="2:8">
      <c r="B44" s="33" t="str">
        <f t="shared" si="22"/>
        <v>Equipment Costs</v>
      </c>
      <c r="C44" s="6">
        <f>$H$44/12</f>
        <v>1465.9260000000002</v>
      </c>
      <c r="D44" s="6">
        <f t="shared" ref="D44:G44" si="24">$H$44/12</f>
        <v>1465.9260000000002</v>
      </c>
      <c r="E44" s="6">
        <f t="shared" si="24"/>
        <v>1465.9260000000002</v>
      </c>
      <c r="F44" s="6">
        <f t="shared" si="24"/>
        <v>1465.9260000000002</v>
      </c>
      <c r="G44" s="6">
        <f t="shared" si="24"/>
        <v>1465.9260000000002</v>
      </c>
      <c r="H44" s="6">
        <f>'Profit and Loss Statement'!E16</f>
        <v>17591.112000000001</v>
      </c>
    </row>
    <row r="45" spans="2:8">
      <c r="B45" s="33" t="str">
        <f t="shared" si="22"/>
        <v>Insurance Costs</v>
      </c>
      <c r="C45" s="6">
        <f>$H$45/12</f>
        <v>2100</v>
      </c>
      <c r="D45" s="6">
        <f t="shared" ref="D45:G45" si="25">$H$45/12</f>
        <v>2100</v>
      </c>
      <c r="E45" s="6">
        <f t="shared" si="25"/>
        <v>2100</v>
      </c>
      <c r="F45" s="6">
        <f t="shared" si="25"/>
        <v>2100</v>
      </c>
      <c r="G45" s="6">
        <f t="shared" si="25"/>
        <v>2100</v>
      </c>
      <c r="H45" s="6">
        <f>'Profit and Loss Statement'!E17</f>
        <v>25200</v>
      </c>
    </row>
    <row r="46" spans="2:8">
      <c r="B46" s="33" t="str">
        <f t="shared" si="22"/>
        <v>Marketing</v>
      </c>
      <c r="C46" s="6">
        <f>$H$46/12</f>
        <v>1157.3100000000002</v>
      </c>
      <c r="D46" s="6">
        <f t="shared" ref="D46:G46" si="26">$H$46/12</f>
        <v>1157.3100000000002</v>
      </c>
      <c r="E46" s="6">
        <f t="shared" si="26"/>
        <v>1157.3100000000002</v>
      </c>
      <c r="F46" s="6">
        <f t="shared" si="26"/>
        <v>1157.3100000000002</v>
      </c>
      <c r="G46" s="6">
        <f t="shared" si="26"/>
        <v>1157.3100000000002</v>
      </c>
      <c r="H46" s="6">
        <f>'Profit and Loss Statement'!E18</f>
        <v>13887.720000000001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2677.5</v>
      </c>
      <c r="D48" s="6">
        <f t="shared" ref="D48:G48" si="28">$H$48/12</f>
        <v>2677.5</v>
      </c>
      <c r="E48" s="6">
        <f t="shared" si="28"/>
        <v>2677.5</v>
      </c>
      <c r="F48" s="6">
        <f t="shared" si="28"/>
        <v>2677.5</v>
      </c>
      <c r="G48" s="6">
        <f t="shared" si="28"/>
        <v>2677.5</v>
      </c>
      <c r="H48" s="6">
        <f>'Profit and Loss Statement'!E20</f>
        <v>32130</v>
      </c>
    </row>
    <row r="49" spans="2:15">
      <c r="B49" s="28" t="s">
        <v>8</v>
      </c>
      <c r="C49" s="6">
        <f>SUM(C41:C48)</f>
        <v>48498.216583333327</v>
      </c>
      <c r="D49" s="6">
        <f t="shared" ref="D49:G49" si="29">SUM(D41:D48)</f>
        <v>48498.216583333327</v>
      </c>
      <c r="E49" s="6">
        <f t="shared" si="29"/>
        <v>48498.216583333327</v>
      </c>
      <c r="F49" s="6">
        <f t="shared" si="29"/>
        <v>48498.216583333327</v>
      </c>
      <c r="G49" s="6">
        <f t="shared" si="29"/>
        <v>48498.216583333327</v>
      </c>
      <c r="H49" s="6">
        <f>'Profit and Loss Statement'!E21</f>
        <v>581978.59899999993</v>
      </c>
    </row>
    <row r="50" spans="2:15">
      <c r="B50" s="30"/>
    </row>
    <row r="51" spans="2:15">
      <c r="B51" s="24" t="s">
        <v>47</v>
      </c>
      <c r="C51" s="25">
        <f>C38-C49</f>
        <v>16842.683416666674</v>
      </c>
      <c r="D51" s="25">
        <f t="shared" ref="D51:H51" si="30">D38-D49</f>
        <v>16866.383416666671</v>
      </c>
      <c r="E51" s="25">
        <f t="shared" si="30"/>
        <v>16890.083416666675</v>
      </c>
      <c r="F51" s="25">
        <f t="shared" si="30"/>
        <v>16913.783416666673</v>
      </c>
      <c r="G51" s="25">
        <f t="shared" si="30"/>
        <v>16937.48341666667</v>
      </c>
      <c r="H51" s="25">
        <f t="shared" si="30"/>
        <v>201685.60100000002</v>
      </c>
    </row>
    <row r="52" spans="2:15">
      <c r="B52" s="29" t="s">
        <v>15</v>
      </c>
      <c r="C52" s="6">
        <f>(C34/$H$34)*$H$52</f>
        <v>3813.4893908239424</v>
      </c>
      <c r="D52" s="6">
        <f t="shared" ref="D52:G52" si="31">(D34/$H$34)*$H$52</f>
        <v>3814.8725933596056</v>
      </c>
      <c r="E52" s="6">
        <f t="shared" si="31"/>
        <v>3816.2557958952689</v>
      </c>
      <c r="F52" s="6">
        <f t="shared" si="31"/>
        <v>3817.6389984309321</v>
      </c>
      <c r="G52" s="6">
        <f t="shared" si="31"/>
        <v>3819.0222009665958</v>
      </c>
      <c r="H52" s="6">
        <f>'Profit and Loss Statement'!E24</f>
        <v>45736.975044245366</v>
      </c>
    </row>
    <row r="53" spans="2:15">
      <c r="B53" s="29" t="s">
        <v>102</v>
      </c>
      <c r="C53" s="6">
        <f>(C34/$H$34)*$H$53</f>
        <v>762.69787816478845</v>
      </c>
      <c r="D53" s="6">
        <f t="shared" ref="D53:G53" si="32">(D34/$H$34)*$H$53</f>
        <v>762.97451867192103</v>
      </c>
      <c r="E53" s="6">
        <f t="shared" si="32"/>
        <v>763.25115917905384</v>
      </c>
      <c r="F53" s="6">
        <f t="shared" si="32"/>
        <v>763.52779968618643</v>
      </c>
      <c r="G53" s="6">
        <f t="shared" si="32"/>
        <v>763.80444019331912</v>
      </c>
      <c r="H53" s="6">
        <f>'Profit and Loss Statement'!E25</f>
        <v>9147.3950088490728</v>
      </c>
    </row>
    <row r="54" spans="2:15">
      <c r="B54" s="29" t="s">
        <v>16</v>
      </c>
      <c r="C54" s="6">
        <f>'Loan Amortization Table'!D21</f>
        <v>722.25211096767862</v>
      </c>
      <c r="D54" s="6">
        <f>'Loan Amortization Table'!D22</f>
        <v>718.16831876866752</v>
      </c>
      <c r="E54" s="6">
        <f>'Loan Amortization Table'!D23</f>
        <v>714.05389812816384</v>
      </c>
      <c r="F54" s="6">
        <f>'Loan Amortization Table'!D24</f>
        <v>709.90861933285635</v>
      </c>
      <c r="G54" s="6">
        <f>'Loan Amortization Table'!D25</f>
        <v>705.73225094658403</v>
      </c>
      <c r="H54" s="6">
        <f>'Profit and Loss Statement'!E26</f>
        <v>8737.7008230185711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10710.910703376932</v>
      </c>
      <c r="D56" s="39">
        <f t="shared" ref="D56:G56" si="34">D51-SUM(D52:D55)</f>
        <v>10737.034652533144</v>
      </c>
      <c r="E56" s="39">
        <f t="shared" si="34"/>
        <v>10763.189230130854</v>
      </c>
      <c r="F56" s="39">
        <f t="shared" si="34"/>
        <v>10789.374665883364</v>
      </c>
      <c r="G56" s="39">
        <f t="shared" si="34"/>
        <v>10815.591191226838</v>
      </c>
      <c r="H56" s="39">
        <f>'Profit and Loss Statement'!E28</f>
        <v>128063.53012388702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318260.25000000006</v>
      </c>
      <c r="D62" s="6">
        <f t="shared" ref="D62:F62" si="38">$G$62*M62</f>
        <v>318260.25000000006</v>
      </c>
      <c r="E62" s="6">
        <f t="shared" si="38"/>
        <v>318260.25000000006</v>
      </c>
      <c r="F62" s="6">
        <f t="shared" si="38"/>
        <v>318260.25000000006</v>
      </c>
      <c r="G62" s="6">
        <f>'Profit and Loss Statement'!F6</f>
        <v>1273041.0000000002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102752.595</v>
      </c>
      <c r="D63" s="6">
        <f t="shared" ref="D63:F63" si="39">$G$63*M62</f>
        <v>102752.595</v>
      </c>
      <c r="E63" s="6">
        <f t="shared" si="39"/>
        <v>102752.595</v>
      </c>
      <c r="F63" s="6">
        <f t="shared" si="39"/>
        <v>102752.595</v>
      </c>
      <c r="G63" s="6">
        <f>'Profit and Loss Statement'!F7</f>
        <v>411010.38</v>
      </c>
    </row>
    <row r="64" spans="2:15">
      <c r="B64" s="29" t="s">
        <v>12</v>
      </c>
      <c r="C64" s="17">
        <f>1-(C63/C62)</f>
        <v>0.67714285714285727</v>
      </c>
      <c r="D64" s="17">
        <f t="shared" ref="D64" si="40">1-(D63/D62)</f>
        <v>0.67714285714285727</v>
      </c>
      <c r="E64" s="17">
        <f t="shared" ref="E64" si="41">1-(E63/E62)</f>
        <v>0.67714285714285727</v>
      </c>
      <c r="F64" s="17">
        <f t="shared" ref="F64:G64" si="42">1-(F63/F62)</f>
        <v>0.67714285714285727</v>
      </c>
      <c r="G64" s="17">
        <f t="shared" si="42"/>
        <v>0.67714285714285727</v>
      </c>
    </row>
    <row r="65" spans="2:7">
      <c r="B65" s="30"/>
    </row>
    <row r="66" spans="2:7">
      <c r="B66" s="37" t="s">
        <v>10</v>
      </c>
      <c r="C66" s="6">
        <f>C62-C63</f>
        <v>215507.65500000006</v>
      </c>
      <c r="D66" s="6">
        <f t="shared" ref="D66:G66" si="43">D62-D63</f>
        <v>215507.65500000006</v>
      </c>
      <c r="E66" s="6">
        <f t="shared" si="43"/>
        <v>215507.65500000006</v>
      </c>
      <c r="F66" s="6">
        <f t="shared" si="43"/>
        <v>215507.65500000006</v>
      </c>
      <c r="G66" s="6">
        <f t="shared" si="43"/>
        <v>862030.62000000023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108150</v>
      </c>
      <c r="D69" s="6">
        <f t="shared" ref="D69:F69" si="44">$G$69/4</f>
        <v>108150</v>
      </c>
      <c r="E69" s="6">
        <f t="shared" si="44"/>
        <v>108150</v>
      </c>
      <c r="F69" s="6">
        <f t="shared" si="44"/>
        <v>108150</v>
      </c>
      <c r="G69" s="6">
        <f>'Profit and Loss Statement'!F13</f>
        <v>432600</v>
      </c>
    </row>
    <row r="70" spans="2:7">
      <c r="B70" s="33" t="str">
        <f>B42</f>
        <v>Facility Costs</v>
      </c>
      <c r="C70" s="6">
        <f>$G$70/4</f>
        <v>12875</v>
      </c>
      <c r="D70" s="6">
        <f t="shared" ref="D70:F70" si="45">$G$70/4</f>
        <v>12875</v>
      </c>
      <c r="E70" s="6">
        <f t="shared" si="45"/>
        <v>12875</v>
      </c>
      <c r="F70" s="6">
        <f t="shared" si="45"/>
        <v>12875</v>
      </c>
      <c r="G70" s="6">
        <f>'Profit and Loss Statement'!F14</f>
        <v>51500</v>
      </c>
    </row>
    <row r="71" spans="2:7">
      <c r="B71" s="33" t="str">
        <f t="shared" ref="B71:B75" si="46">B43</f>
        <v>General and Administrative</v>
      </c>
      <c r="C71" s="6">
        <f>$G$71/4</f>
        <v>4996.6859250000007</v>
      </c>
      <c r="D71" s="6">
        <f t="shared" ref="D71:F71" si="47">$G$71/4</f>
        <v>4996.6859250000007</v>
      </c>
      <c r="E71" s="6">
        <f t="shared" si="47"/>
        <v>4996.6859250000007</v>
      </c>
      <c r="F71" s="6">
        <f t="shared" si="47"/>
        <v>4996.6859250000007</v>
      </c>
      <c r="G71" s="6">
        <f>'Profit and Loss Statement'!F15</f>
        <v>19986.743700000003</v>
      </c>
    </row>
    <row r="72" spans="2:7">
      <c r="B72" s="33" t="str">
        <f t="shared" si="46"/>
        <v>Equipment Costs</v>
      </c>
      <c r="C72" s="6">
        <f>$G$72/4</f>
        <v>4837.555800000001</v>
      </c>
      <c r="D72" s="6">
        <f t="shared" ref="D72:F72" si="48">$G$72/4</f>
        <v>4837.555800000001</v>
      </c>
      <c r="E72" s="6">
        <f t="shared" si="48"/>
        <v>4837.555800000001</v>
      </c>
      <c r="F72" s="6">
        <f t="shared" si="48"/>
        <v>4837.555800000001</v>
      </c>
      <c r="G72" s="6">
        <f>'Profit and Loss Statement'!F16</f>
        <v>19350.223200000004</v>
      </c>
    </row>
    <row r="73" spans="2:7">
      <c r="B73" s="33" t="str">
        <f t="shared" si="46"/>
        <v>Insurance Costs</v>
      </c>
      <c r="C73" s="6">
        <f>$G$73/4</f>
        <v>6489</v>
      </c>
      <c r="D73" s="6">
        <f t="shared" ref="D73:F73" si="49">$G$73/4</f>
        <v>6489</v>
      </c>
      <c r="E73" s="6">
        <f t="shared" si="49"/>
        <v>6489</v>
      </c>
      <c r="F73" s="6">
        <f t="shared" si="49"/>
        <v>6489</v>
      </c>
      <c r="G73" s="6">
        <f>'Profit and Loss Statement'!F17</f>
        <v>25956</v>
      </c>
    </row>
    <row r="74" spans="2:7">
      <c r="B74" s="33" t="str">
        <f t="shared" si="46"/>
        <v>Marketing</v>
      </c>
      <c r="C74" s="6">
        <f>$G$74/4</f>
        <v>3819.123000000001</v>
      </c>
      <c r="D74" s="6">
        <f t="shared" ref="D74:F74" si="50">$G$74/4</f>
        <v>3819.123000000001</v>
      </c>
      <c r="E74" s="6">
        <f t="shared" si="50"/>
        <v>3819.123000000001</v>
      </c>
      <c r="F74" s="6">
        <f t="shared" si="50"/>
        <v>3819.123000000001</v>
      </c>
      <c r="G74" s="6">
        <f>'Profit and Loss Statement'!F18</f>
        <v>15276.492000000004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8273.4750000000004</v>
      </c>
      <c r="D76" s="6">
        <f t="shared" ref="D76:F76" si="52">$G$76/4</f>
        <v>8273.4750000000004</v>
      </c>
      <c r="E76" s="6">
        <f t="shared" si="52"/>
        <v>8273.4750000000004</v>
      </c>
      <c r="F76" s="6">
        <f t="shared" si="52"/>
        <v>8273.4750000000004</v>
      </c>
      <c r="G76" s="6">
        <f>'Profit and Loss Statement'!F20</f>
        <v>33093.9</v>
      </c>
    </row>
    <row r="77" spans="2:7">
      <c r="B77" s="28" t="s">
        <v>8</v>
      </c>
      <c r="C77" s="6">
        <f>SUM(C69:C76)</f>
        <v>151128.339725</v>
      </c>
      <c r="D77" s="6">
        <f t="shared" ref="D77:F77" si="53">SUM(D69:D76)</f>
        <v>151128.339725</v>
      </c>
      <c r="E77" s="6">
        <f t="shared" si="53"/>
        <v>151128.339725</v>
      </c>
      <c r="F77" s="6">
        <f t="shared" si="53"/>
        <v>151128.339725</v>
      </c>
      <c r="G77" s="6">
        <f>SUM(G69:G76)</f>
        <v>604513.35889999999</v>
      </c>
    </row>
    <row r="78" spans="2:7">
      <c r="B78" s="30"/>
    </row>
    <row r="79" spans="2:7">
      <c r="B79" s="24" t="s">
        <v>47</v>
      </c>
      <c r="C79" s="25">
        <f>C66-C77</f>
        <v>64379.315275000059</v>
      </c>
      <c r="D79" s="25">
        <f t="shared" ref="D79:F79" si="54">D66-D77</f>
        <v>64379.315275000059</v>
      </c>
      <c r="E79" s="25">
        <f t="shared" si="54"/>
        <v>64379.315275000059</v>
      </c>
      <c r="F79" s="25">
        <f t="shared" si="54"/>
        <v>64379.315275000059</v>
      </c>
      <c r="G79" s="25">
        <f t="shared" ref="G79" si="55">G66-G77</f>
        <v>257517.26110000024</v>
      </c>
    </row>
    <row r="80" spans="2:7">
      <c r="B80" s="29" t="s">
        <v>15</v>
      </c>
      <c r="C80" s="6">
        <f>$G$80*L62</f>
        <v>14961.616939466685</v>
      </c>
      <c r="D80" s="6">
        <f t="shared" ref="D80:F80" si="56">$G$80*M62</f>
        <v>14961.616939466685</v>
      </c>
      <c r="E80" s="6">
        <f t="shared" si="56"/>
        <v>14961.616939466685</v>
      </c>
      <c r="F80" s="6">
        <f t="shared" si="56"/>
        <v>14961.616939466685</v>
      </c>
      <c r="G80" s="6">
        <f>'Profit and Loss Statement'!F24</f>
        <v>59846.46775786674</v>
      </c>
    </row>
    <row r="81" spans="2:15">
      <c r="B81" s="29" t="s">
        <v>102</v>
      </c>
      <c r="C81" s="6">
        <f>$G$81*L62</f>
        <v>2992.323387893337</v>
      </c>
      <c r="D81" s="6">
        <f t="shared" ref="D81:F81" si="57">$G$81*M62</f>
        <v>2992.323387893337</v>
      </c>
      <c r="E81" s="6">
        <f t="shared" si="57"/>
        <v>2992.323387893337</v>
      </c>
      <c r="F81" s="6">
        <f t="shared" si="57"/>
        <v>2992.323387893337</v>
      </c>
      <c r="G81" s="6">
        <f>'Profit and Loss Statement'!F25</f>
        <v>11969.293551573348</v>
      </c>
    </row>
    <row r="82" spans="2:15">
      <c r="B82" s="29" t="s">
        <v>16</v>
      </c>
      <c r="C82" s="6">
        <f>SUM('Loan Amortization Table'!D26:D28)</f>
        <v>2091.8241385276333</v>
      </c>
      <c r="D82" s="6">
        <f>SUM('Loan Amortization Table'!D29:D31)</f>
        <v>2053.0950128298996</v>
      </c>
      <c r="E82" s="6">
        <f>SUM('Loan Amortization Table'!D32:D34)</f>
        <v>2013.4879299251556</v>
      </c>
      <c r="F82" s="6">
        <f>SUM('Loan Amortization Table'!D35:D37)</f>
        <v>1972.9829872505761</v>
      </c>
      <c r="G82" s="6">
        <f>'Profit and Loss Statement'!F26</f>
        <v>8131.3900685332646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41833.550809112407</v>
      </c>
      <c r="D84" s="39">
        <f t="shared" ref="D84:F84" si="59">D79-SUM(D80:D83)</f>
        <v>41872.27993481014</v>
      </c>
      <c r="E84" s="39">
        <f t="shared" si="59"/>
        <v>41911.887017714878</v>
      </c>
      <c r="F84" s="39">
        <f t="shared" si="59"/>
        <v>41952.391960389461</v>
      </c>
      <c r="G84" s="39">
        <f>'Profit and Loss Statement'!F28</f>
        <v>167570.10972202689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350086.27500000008</v>
      </c>
      <c r="D92" s="6">
        <f t="shared" ref="D92:F92" si="64">$G$92*M92</f>
        <v>350086.27500000008</v>
      </c>
      <c r="E92" s="6">
        <f t="shared" si="64"/>
        <v>350086.27500000008</v>
      </c>
      <c r="F92" s="6">
        <f t="shared" si="64"/>
        <v>350086.27500000008</v>
      </c>
      <c r="G92" s="6">
        <f>'Profit and Loss Statement'!G6</f>
        <v>1400345.1000000003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113027.85450000002</v>
      </c>
      <c r="D93" s="6">
        <f t="shared" ref="D93:F93" si="65">$G$93*M92</f>
        <v>113027.85450000002</v>
      </c>
      <c r="E93" s="6">
        <f t="shared" si="65"/>
        <v>113027.85450000002</v>
      </c>
      <c r="F93" s="6">
        <f t="shared" si="65"/>
        <v>113027.85450000002</v>
      </c>
      <c r="G93" s="6">
        <f>'Profit and Loss Statement'!G7</f>
        <v>452111.41800000006</v>
      </c>
    </row>
    <row r="94" spans="2:15">
      <c r="B94" s="29" t="s">
        <v>12</v>
      </c>
      <c r="C94" s="17">
        <f>1-(C93/C92)</f>
        <v>0.67714285714285716</v>
      </c>
      <c r="D94" s="17">
        <f t="shared" ref="D94:G94" si="66">1-(D93/D92)</f>
        <v>0.67714285714285716</v>
      </c>
      <c r="E94" s="17">
        <f t="shared" si="66"/>
        <v>0.67714285714285716</v>
      </c>
      <c r="F94" s="17">
        <f t="shared" si="66"/>
        <v>0.67714285714285716</v>
      </c>
      <c r="G94" s="17">
        <f t="shared" si="66"/>
        <v>0.67714285714285716</v>
      </c>
    </row>
    <row r="95" spans="2:15">
      <c r="B95" s="30"/>
    </row>
    <row r="96" spans="2:15">
      <c r="B96" s="37" t="s">
        <v>10</v>
      </c>
      <c r="C96" s="6">
        <f>C92-C93</f>
        <v>237058.42050000007</v>
      </c>
      <c r="D96" s="6">
        <f t="shared" ref="D96:G96" si="67">D92-D93</f>
        <v>237058.42050000007</v>
      </c>
      <c r="E96" s="6">
        <f t="shared" si="67"/>
        <v>237058.42050000007</v>
      </c>
      <c r="F96" s="6">
        <f t="shared" si="67"/>
        <v>237058.42050000007</v>
      </c>
      <c r="G96" s="6">
        <f t="shared" si="67"/>
        <v>948233.68200000026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111394.5</v>
      </c>
      <c r="D99" s="6">
        <f>$G$99/4</f>
        <v>111394.5</v>
      </c>
      <c r="E99" s="6">
        <f>$G$99/4</f>
        <v>111394.5</v>
      </c>
      <c r="F99" s="6">
        <f>$G$99/4</f>
        <v>111394.5</v>
      </c>
      <c r="G99" s="6">
        <f>'Profit and Loss Statement'!G13</f>
        <v>445578</v>
      </c>
    </row>
    <row r="100" spans="2:7">
      <c r="B100" s="33" t="str">
        <f>B70</f>
        <v>Facility Costs</v>
      </c>
      <c r="C100" s="6">
        <f>$G$100/4</f>
        <v>13261.25</v>
      </c>
      <c r="D100" s="6">
        <f t="shared" ref="D100:F100" si="68">$G$100/4</f>
        <v>13261.25</v>
      </c>
      <c r="E100" s="6">
        <f t="shared" si="68"/>
        <v>13261.25</v>
      </c>
      <c r="F100" s="6">
        <f t="shared" si="68"/>
        <v>13261.25</v>
      </c>
      <c r="G100" s="6">
        <f>'Profit and Loss Statement'!G14</f>
        <v>53045</v>
      </c>
    </row>
    <row r="101" spans="2:7">
      <c r="B101" s="33" t="str">
        <f t="shared" ref="B101:B105" si="69">B71</f>
        <v>General and Administrative</v>
      </c>
      <c r="C101" s="6">
        <f>$G101/4</f>
        <v>5496.3545175000008</v>
      </c>
      <c r="D101" s="6">
        <f t="shared" ref="D101:F101" si="70">$G101/4</f>
        <v>5496.3545175000008</v>
      </c>
      <c r="E101" s="6">
        <f t="shared" si="70"/>
        <v>5496.3545175000008</v>
      </c>
      <c r="F101" s="6">
        <f t="shared" si="70"/>
        <v>5496.3545175000008</v>
      </c>
      <c r="G101" s="6">
        <f>'Profit and Loss Statement'!G15</f>
        <v>21985.418070000003</v>
      </c>
    </row>
    <row r="102" spans="2:7">
      <c r="B102" s="33" t="str">
        <f t="shared" si="69"/>
        <v>Equipment Costs</v>
      </c>
      <c r="C102" s="6">
        <f>$G$102/4</f>
        <v>5321.311380000001</v>
      </c>
      <c r="D102" s="6">
        <f t="shared" ref="D102:F102" si="71">$G$102/4</f>
        <v>5321.311380000001</v>
      </c>
      <c r="E102" s="6">
        <f t="shared" si="71"/>
        <v>5321.311380000001</v>
      </c>
      <c r="F102" s="6">
        <f t="shared" si="71"/>
        <v>5321.311380000001</v>
      </c>
      <c r="G102" s="6">
        <f>'Profit and Loss Statement'!G16</f>
        <v>21285.245520000004</v>
      </c>
    </row>
    <row r="103" spans="2:7">
      <c r="B103" s="33" t="str">
        <f t="shared" si="69"/>
        <v>Insurance Costs</v>
      </c>
      <c r="C103" s="6">
        <f>$G$103/4</f>
        <v>6683.67</v>
      </c>
      <c r="D103" s="6">
        <f t="shared" ref="D103:F103" si="72">$G$103/4</f>
        <v>6683.67</v>
      </c>
      <c r="E103" s="6">
        <f t="shared" si="72"/>
        <v>6683.67</v>
      </c>
      <c r="F103" s="6">
        <f t="shared" si="72"/>
        <v>6683.67</v>
      </c>
      <c r="G103" s="6">
        <f>'Profit and Loss Statement'!G17</f>
        <v>26734.68</v>
      </c>
    </row>
    <row r="104" spans="2:7">
      <c r="B104" s="33" t="str">
        <f t="shared" si="69"/>
        <v>Marketing</v>
      </c>
      <c r="C104" s="6">
        <f>$G$104/4</f>
        <v>4201.0353000000014</v>
      </c>
      <c r="D104" s="6">
        <f t="shared" ref="D104:F104" si="73">$G$104/4</f>
        <v>4201.0353000000014</v>
      </c>
      <c r="E104" s="6">
        <f t="shared" si="73"/>
        <v>4201.0353000000014</v>
      </c>
      <c r="F104" s="6">
        <f t="shared" si="73"/>
        <v>4201.0353000000014</v>
      </c>
      <c r="G104" s="6">
        <f>'Profit and Loss Statement'!G18</f>
        <v>16804.141200000005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8521.6792499999992</v>
      </c>
      <c r="D106" s="6">
        <f t="shared" ref="D106:F106" si="75">$G$106/4</f>
        <v>8521.6792499999992</v>
      </c>
      <c r="E106" s="6">
        <f t="shared" si="75"/>
        <v>8521.6792499999992</v>
      </c>
      <c r="F106" s="6">
        <f t="shared" si="75"/>
        <v>8521.6792499999992</v>
      </c>
      <c r="G106" s="6">
        <f>'Profit and Loss Statement'!G20</f>
        <v>34086.716999999997</v>
      </c>
    </row>
    <row r="107" spans="2:7">
      <c r="B107" s="28" t="s">
        <v>8</v>
      </c>
      <c r="C107" s="6">
        <f>SUM(C99:C106)</f>
        <v>157157.92544749999</v>
      </c>
      <c r="D107" s="6">
        <f t="shared" ref="D107:F107" si="76">SUM(D99:D106)</f>
        <v>157157.92544749999</v>
      </c>
      <c r="E107" s="6">
        <f t="shared" si="76"/>
        <v>157157.92544749999</v>
      </c>
      <c r="F107" s="6">
        <f t="shared" si="76"/>
        <v>157157.92544749999</v>
      </c>
      <c r="G107" s="6">
        <f>SUM(G99:G106)</f>
        <v>628631.70178999996</v>
      </c>
    </row>
    <row r="108" spans="2:7">
      <c r="B108" s="30"/>
    </row>
    <row r="109" spans="2:7">
      <c r="B109" s="24" t="s">
        <v>47</v>
      </c>
      <c r="C109" s="25">
        <f>C96-C107</f>
        <v>79900.495052500075</v>
      </c>
      <c r="D109" s="25">
        <f t="shared" ref="D109:G109" si="77">D96-D107</f>
        <v>79900.495052500075</v>
      </c>
      <c r="E109" s="25">
        <f t="shared" si="77"/>
        <v>79900.495052500075</v>
      </c>
      <c r="F109" s="25">
        <f t="shared" si="77"/>
        <v>79900.495052500075</v>
      </c>
      <c r="G109" s="25">
        <f t="shared" si="77"/>
        <v>319601.9802100003</v>
      </c>
    </row>
    <row r="110" spans="2:7">
      <c r="B110" s="29" t="s">
        <v>15</v>
      </c>
      <c r="C110" s="6">
        <f>$G$110*L92</f>
        <v>18883.361064178447</v>
      </c>
      <c r="D110" s="6">
        <f t="shared" ref="D110:F110" si="78">$G$110*M92</f>
        <v>18883.361064178447</v>
      </c>
      <c r="E110" s="6">
        <f t="shared" si="78"/>
        <v>18883.361064178447</v>
      </c>
      <c r="F110" s="6">
        <f t="shared" si="78"/>
        <v>18883.361064178447</v>
      </c>
      <c r="G110" s="6">
        <f>'Profit and Loss Statement'!G24</f>
        <v>75533.444256713788</v>
      </c>
    </row>
    <row r="111" spans="2:7">
      <c r="B111" s="29" t="s">
        <v>102</v>
      </c>
      <c r="C111" s="6">
        <f>$G$111*L92</f>
        <v>3776.6722128356896</v>
      </c>
      <c r="D111" s="6">
        <f t="shared" ref="D111:F111" si="79">$G$111*M92</f>
        <v>3776.6722128356896</v>
      </c>
      <c r="E111" s="6">
        <f t="shared" si="79"/>
        <v>3776.6722128356896</v>
      </c>
      <c r="F111" s="6">
        <f t="shared" si="79"/>
        <v>3776.6722128356896</v>
      </c>
      <c r="G111" s="6">
        <f>'Profit and Loss Statement'!G25</f>
        <v>15106.688851342758</v>
      </c>
    </row>
    <row r="112" spans="2:7">
      <c r="B112" s="29" t="s">
        <v>16</v>
      </c>
      <c r="C112" s="6">
        <f>SUM('Loan Amortization Table'!D38:D40)</f>
        <v>1931.5598310687199</v>
      </c>
      <c r="D112" s="6">
        <f>SUM('Loan Amortization Table'!D41:D43)</f>
        <v>1889.197646239772</v>
      </c>
      <c r="E112" s="6">
        <f>SUM('Loan Amortization Table'!D44:D46)</f>
        <v>1845.8751457619364</v>
      </c>
      <c r="F112" s="6">
        <f>SUM('Loan Amortization Table'!D47:D49)</f>
        <v>1801.5705600747137</v>
      </c>
      <c r="G112" s="6">
        <f>'Profit and Loss Statement'!G26</f>
        <v>7468.2031831451432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52808.901944417215</v>
      </c>
      <c r="D114" s="39">
        <f t="shared" ref="D114:F114" si="80">D109-SUM(D110:D113)</f>
        <v>52851.264129246163</v>
      </c>
      <c r="E114" s="39">
        <f t="shared" si="80"/>
        <v>52894.586629723999</v>
      </c>
      <c r="F114" s="39">
        <f t="shared" si="80"/>
        <v>52938.891215411226</v>
      </c>
      <c r="G114" s="39">
        <f>'Profit and Loss Statement'!G28</f>
        <v>211493.6439187986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W151"/>
  <sheetViews>
    <sheetView showGridLines="0" workbookViewId="0">
      <selection activeCell="U5" sqref="U5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23">
      <c r="C4" s="7" t="s">
        <v>66</v>
      </c>
      <c r="D4" s="3"/>
      <c r="E4" s="3"/>
      <c r="F4" s="3"/>
      <c r="G4" s="3"/>
      <c r="H4" s="3"/>
      <c r="I4" s="3"/>
      <c r="J4" s="3"/>
      <c r="W4" s="112" t="s">
        <v>135</v>
      </c>
    </row>
    <row r="5" spans="3:23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23">
      <c r="C6" s="41" t="s">
        <v>67</v>
      </c>
      <c r="D6" s="13">
        <f>'Expanded Profit and Loss'!C28+'Expanded Profit and Loss'!C27</f>
        <v>11362.215048977514</v>
      </c>
      <c r="E6" s="13">
        <f>'Expanded Profit and Loss'!D28+'Expanded Profit and Loss'!D27</f>
        <v>11388.130888965985</v>
      </c>
      <c r="F6" s="13">
        <f>'Expanded Profit and Loss'!E28+'Expanded Profit and Loss'!E27</f>
        <v>11414.075796577197</v>
      </c>
      <c r="G6" s="13">
        <f>'Expanded Profit and Loss'!F28+'Expanded Profit and Loss'!F27</f>
        <v>11440.049989818306</v>
      </c>
      <c r="H6" s="13">
        <f>'Expanded Profit and Loss'!G28+'Expanded Profit and Loss'!G27</f>
        <v>11466.053688331553</v>
      </c>
      <c r="I6" s="13">
        <f>'Expanded Profit and Loss'!H28+'Expanded Profit and Loss'!H27</f>
        <v>11492.08711340646</v>
      </c>
      <c r="J6" s="13">
        <f>'Expanded Profit and Loss'!I28+'Expanded Profit and Loss'!I27</f>
        <v>11518.150487992252</v>
      </c>
    </row>
    <row r="7" spans="3:23">
      <c r="C7" s="30"/>
    </row>
    <row r="8" spans="3:23">
      <c r="C8" s="35" t="s">
        <v>19</v>
      </c>
    </row>
    <row r="9" spans="3:23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23">
      <c r="C10" s="31" t="s">
        <v>21</v>
      </c>
      <c r="D10" s="6">
        <f>'Cash Flow Analysis'!E10</f>
        <v>100000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23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23">
      <c r="C12" s="37" t="s">
        <v>23</v>
      </c>
      <c r="D12" s="26">
        <f>SUM(D9:D11)</f>
        <v>150833.33333333334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23">
      <c r="C13" s="30"/>
    </row>
    <row r="14" spans="3:23">
      <c r="C14" s="30"/>
    </row>
    <row r="15" spans="3:23">
      <c r="C15" s="41" t="s">
        <v>18</v>
      </c>
      <c r="D15" s="27">
        <f>D6+D12</f>
        <v>162195.54838231087</v>
      </c>
      <c r="E15" s="27">
        <f t="shared" ref="E15:J15" si="3">E6+E12</f>
        <v>12221.464222299319</v>
      </c>
      <c r="F15" s="27">
        <f t="shared" si="3"/>
        <v>12247.409129910531</v>
      </c>
      <c r="G15" s="27">
        <f t="shared" si="3"/>
        <v>12273.38332315164</v>
      </c>
      <c r="H15" s="27">
        <f t="shared" si="3"/>
        <v>12299.387021664887</v>
      </c>
      <c r="I15" s="27">
        <f t="shared" si="3"/>
        <v>12325.420446739794</v>
      </c>
      <c r="J15" s="27">
        <f t="shared" si="3"/>
        <v>12351.483821325586</v>
      </c>
    </row>
    <row r="16" spans="3:23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516.75773750249482</v>
      </c>
      <c r="E18" s="6">
        <f>'Loan Amortization Table'!C15</f>
        <v>520.63342053376357</v>
      </c>
      <c r="F18" s="6">
        <f>'Loan Amortization Table'!C16</f>
        <v>524.53817118776681</v>
      </c>
      <c r="G18" s="6">
        <f>'Loan Amortization Table'!C17</f>
        <v>528.47220747167512</v>
      </c>
      <c r="H18" s="6">
        <f>'Loan Amortization Table'!C18</f>
        <v>532.43574902771263</v>
      </c>
      <c r="I18" s="6">
        <f>'Loan Amortization Table'!C19</f>
        <v>536.42901714542052</v>
      </c>
      <c r="J18" s="6">
        <f>'Loan Amortization Table'!C20</f>
        <v>540.45223477401112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102500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103600.09107083583</v>
      </c>
      <c r="E22" s="26">
        <f t="shared" ref="E22:J22" si="5">SUM(E18:E21)</f>
        <v>1103.9667538670969</v>
      </c>
      <c r="F22" s="26">
        <f t="shared" si="5"/>
        <v>1107.8715045211002</v>
      </c>
      <c r="G22" s="26">
        <f t="shared" si="5"/>
        <v>1111.8055408050086</v>
      </c>
      <c r="H22" s="26">
        <f t="shared" si="5"/>
        <v>1115.769082361046</v>
      </c>
      <c r="I22" s="26">
        <f t="shared" si="5"/>
        <v>1119.7623504787539</v>
      </c>
      <c r="J22" s="26">
        <f t="shared" si="5"/>
        <v>1123.7855681073445</v>
      </c>
    </row>
    <row r="23" spans="3:10">
      <c r="C23" s="30"/>
    </row>
    <row r="24" spans="3:10">
      <c r="C24" s="42" t="s">
        <v>27</v>
      </c>
      <c r="D24" s="25">
        <f>D15-D22</f>
        <v>58595.457311475038</v>
      </c>
      <c r="E24" s="25">
        <f t="shared" ref="E24:J24" si="6">E15-E22</f>
        <v>11117.497468432222</v>
      </c>
      <c r="F24" s="25">
        <f t="shared" si="6"/>
        <v>11139.537625389432</v>
      </c>
      <c r="G24" s="25">
        <f t="shared" si="6"/>
        <v>11161.577782346631</v>
      </c>
      <c r="H24" s="25">
        <f t="shared" si="6"/>
        <v>11183.61793930384</v>
      </c>
      <c r="I24" s="25">
        <f t="shared" si="6"/>
        <v>11205.658096261041</v>
      </c>
      <c r="J24" s="25">
        <f t="shared" si="6"/>
        <v>11227.698253218241</v>
      </c>
    </row>
    <row r="25" spans="3:10">
      <c r="C25" s="42" t="s">
        <v>6</v>
      </c>
      <c r="D25" s="25">
        <f>D24</f>
        <v>58595.457311475038</v>
      </c>
      <c r="E25" s="25">
        <f>D25+E24</f>
        <v>69712.954779907261</v>
      </c>
      <c r="F25" s="25">
        <f t="shared" ref="F25:J25" si="7">E25+F24</f>
        <v>80852.492405296696</v>
      </c>
      <c r="G25" s="25">
        <f t="shared" si="7"/>
        <v>92014.07018764333</v>
      </c>
      <c r="H25" s="25">
        <f t="shared" si="7"/>
        <v>103197.68812694718</v>
      </c>
      <c r="I25" s="25">
        <f t="shared" si="7"/>
        <v>114403.34622320822</v>
      </c>
      <c r="J25" s="25">
        <f t="shared" si="7"/>
        <v>125631.04447642647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11544.244036710266</v>
      </c>
      <c r="E31" s="13">
        <f>'Expanded Profit and Loss'!D56+'Expanded Profit and Loss'!D55</f>
        <v>11570.367985866478</v>
      </c>
      <c r="F31" s="13">
        <f>'Expanded Profit and Loss'!E56+'Expanded Profit and Loss'!E55</f>
        <v>11596.522563464188</v>
      </c>
      <c r="G31" s="13">
        <f>'Expanded Profit and Loss'!F56+'Expanded Profit and Loss'!F55</f>
        <v>11622.707999216698</v>
      </c>
      <c r="H31" s="13">
        <f>'Expanded Profit and Loss'!G56+'Expanded Profit and Loss'!G55</f>
        <v>11648.924524560172</v>
      </c>
      <c r="I31" s="13">
        <f>'Cash Flow Analysis'!E6</f>
        <v>138063.530123887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160000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12377.5773700436</v>
      </c>
      <c r="E40" s="27">
        <f t="shared" ref="E40:H40" si="13">E31+E37</f>
        <v>12403.701319199812</v>
      </c>
      <c r="F40" s="27">
        <f t="shared" si="13"/>
        <v>12429.855896797522</v>
      </c>
      <c r="G40" s="27">
        <f t="shared" si="13"/>
        <v>12456.041332550032</v>
      </c>
      <c r="H40" s="27">
        <f t="shared" si="13"/>
        <v>12482.257857893506</v>
      </c>
      <c r="I40" s="36">
        <f>'Cash Flow Analysis'!E15</f>
        <v>298063.530123887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544.5056265348162</v>
      </c>
      <c r="E43" s="6">
        <f>'Loan Amortization Table'!C22</f>
        <v>548.5894187338273</v>
      </c>
      <c r="F43" s="6">
        <f>'Loan Amortization Table'!C23</f>
        <v>552.70383937433098</v>
      </c>
      <c r="G43" s="6">
        <f>'Loan Amortization Table'!C24</f>
        <v>556.84911816963847</v>
      </c>
      <c r="H43" s="6">
        <f>'Loan Amortization Table'!C25</f>
        <v>561.02548655591079</v>
      </c>
      <c r="I43" s="6">
        <f>'Cash Flow Analysis'!E18</f>
        <v>6463.3920270113676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102500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82838.118074332204</v>
      </c>
      <c r="I46" s="13">
        <f>'Cash Flow Analysis'!E21</f>
        <v>82838.118074332204</v>
      </c>
      <c r="J46" s="30"/>
    </row>
    <row r="47" spans="3:10">
      <c r="C47" s="37" t="s">
        <v>26</v>
      </c>
      <c r="D47" s="26">
        <f>SUM(D43:D46)</f>
        <v>1127.8389598681497</v>
      </c>
      <c r="E47" s="26">
        <f t="shared" ref="E47:H47" si="15">SUM(E43:E46)</f>
        <v>1131.9227520671607</v>
      </c>
      <c r="F47" s="26">
        <f t="shared" si="15"/>
        <v>1136.0371727076645</v>
      </c>
      <c r="G47" s="26">
        <f t="shared" si="15"/>
        <v>1140.1824515029718</v>
      </c>
      <c r="H47" s="26">
        <f t="shared" si="15"/>
        <v>83982.476894221443</v>
      </c>
      <c r="I47" s="26">
        <f>'Cash Flow Analysis'!E22</f>
        <v>198801.51010134356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11249.738410175451</v>
      </c>
      <c r="E49" s="25">
        <f t="shared" ref="E49:H49" si="16">E40-E47</f>
        <v>11271.778567132651</v>
      </c>
      <c r="F49" s="25">
        <f t="shared" si="16"/>
        <v>11293.818724089859</v>
      </c>
      <c r="G49" s="25">
        <f t="shared" si="16"/>
        <v>11315.858881047061</v>
      </c>
      <c r="H49" s="25">
        <f t="shared" si="16"/>
        <v>-71500.219036327937</v>
      </c>
      <c r="I49" s="45">
        <f>'Cash Flow Analysis'!E24</f>
        <v>99262.020022543438</v>
      </c>
      <c r="J49" s="30"/>
    </row>
    <row r="50" spans="3:10">
      <c r="C50" s="42" t="s">
        <v>6</v>
      </c>
      <c r="D50" s="25">
        <f>J25+D49</f>
        <v>136880.78288660193</v>
      </c>
      <c r="E50" s="25">
        <f>D50+E49</f>
        <v>148152.56145373458</v>
      </c>
      <c r="F50" s="25">
        <f t="shared" ref="F50:H50" si="17">E50+F49</f>
        <v>159446.38017782444</v>
      </c>
      <c r="G50" s="25">
        <f t="shared" si="17"/>
        <v>170762.23905887149</v>
      </c>
      <c r="H50" s="25">
        <f t="shared" si="17"/>
        <v>99262.020022543555</v>
      </c>
      <c r="I50" s="45">
        <f>'Cash Flow Analysis'!E25</f>
        <v>99262.020022543438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44333.550809112407</v>
      </c>
      <c r="E58" s="48">
        <f>'Expanded Profit and Loss'!D84+'Expanded Profit and Loss'!D83</f>
        <v>44372.27993481014</v>
      </c>
      <c r="F58" s="48">
        <f>'Expanded Profit and Loss'!E84+'Expanded Profit and Loss'!E83</f>
        <v>44411.887017714878</v>
      </c>
      <c r="G58" s="48">
        <f>'Expanded Profit and Loss'!F84+'Expanded Profit and Loss'!F83</f>
        <v>44452.391960389461</v>
      </c>
      <c r="H58" s="46">
        <f>'Cash Flow Analysis'!F6</f>
        <v>177570.10972202689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46883.550809112407</v>
      </c>
      <c r="E67" s="48">
        <f t="shared" ref="E67:G67" si="19">E58+E64</f>
        <v>46922.27993481014</v>
      </c>
      <c r="F67" s="48">
        <f t="shared" si="19"/>
        <v>46961.887017714878</v>
      </c>
      <c r="G67" s="48">
        <f t="shared" si="19"/>
        <v>47002.391960389461</v>
      </c>
      <c r="H67" s="27">
        <f>'Cash Flow Analysis'!F15</f>
        <v>187770.10972202689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1708.4490739798509</v>
      </c>
      <c r="E70" s="50">
        <f>SUM('Loan Amortization Table'!C29:C31)</f>
        <v>1747.1781996775849</v>
      </c>
      <c r="F70" s="50">
        <f>SUM('Loan Amortization Table'!C32:C34)</f>
        <v>1786.7852825823288</v>
      </c>
      <c r="G70" s="50">
        <f>SUM('Loan Amortization Table'!C35:C37)</f>
        <v>1827.2902252569083</v>
      </c>
      <c r="H70" s="32">
        <f>'Cash Flow Analysis'!F18</f>
        <v>7069.7027814966732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8878.505486101345</v>
      </c>
      <c r="E72" s="50">
        <v>0</v>
      </c>
      <c r="F72" s="50">
        <v>0</v>
      </c>
      <c r="G72" s="50">
        <v>0</v>
      </c>
      <c r="H72" s="32">
        <f>'Cash Flow Analysis'!F20</f>
        <v>8878.505486101345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106542.06583321613</v>
      </c>
      <c r="H73" s="13">
        <f>'Cash Flow Analysis'!F21</f>
        <v>106542.06583321613</v>
      </c>
    </row>
    <row r="74" spans="3:8">
      <c r="C74" s="37" t="s">
        <v>26</v>
      </c>
      <c r="D74" s="51">
        <f>SUM(D70:D73)</f>
        <v>12371.954560081196</v>
      </c>
      <c r="E74" s="51">
        <f t="shared" ref="E74:G74" si="20">SUM(E70:E73)</f>
        <v>3532.1781996775849</v>
      </c>
      <c r="F74" s="51">
        <f t="shared" si="20"/>
        <v>3571.7852825823288</v>
      </c>
      <c r="G74" s="51">
        <f t="shared" si="20"/>
        <v>110154.35605847303</v>
      </c>
      <c r="H74" s="34">
        <f>'Cash Flow Analysis'!F22</f>
        <v>129630.27410081415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34511.596249031209</v>
      </c>
      <c r="E76" s="52">
        <f t="shared" ref="E76:G76" si="21">E67-E74</f>
        <v>43390.101735132557</v>
      </c>
      <c r="F76" s="52">
        <f t="shared" si="21"/>
        <v>43390.10173513255</v>
      </c>
      <c r="G76" s="52">
        <f t="shared" si="21"/>
        <v>-63151.964098083568</v>
      </c>
      <c r="H76" s="40">
        <f>'Cash Flow Analysis'!F24</f>
        <v>58139.83562121274</v>
      </c>
    </row>
    <row r="77" spans="3:8">
      <c r="C77" s="42" t="s">
        <v>6</v>
      </c>
      <c r="D77" s="52">
        <f>I50+D76</f>
        <v>133773.61627157463</v>
      </c>
      <c r="E77" s="52">
        <f>D77+E76</f>
        <v>177163.7180067072</v>
      </c>
      <c r="F77" s="52">
        <f t="shared" ref="F77:G77" si="22">E77+F76</f>
        <v>220553.81974183975</v>
      </c>
      <c r="G77" s="52">
        <f t="shared" si="22"/>
        <v>157401.85564375616</v>
      </c>
      <c r="H77" s="40">
        <f>'Cash Flow Analysis'!F25</f>
        <v>157401.85564375616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55308.901944417215</v>
      </c>
      <c r="E84" s="48">
        <f>'Expanded Profit and Loss'!D114+'Expanded Profit and Loss'!D113</f>
        <v>55351.264129246163</v>
      </c>
      <c r="F84" s="48">
        <f>'Expanded Profit and Loss'!E114+'Expanded Profit and Loss'!E113</f>
        <v>55394.586629723999</v>
      </c>
      <c r="G84" s="48">
        <f>'Expanded Profit and Loss'!F114+'Expanded Profit and Loss'!F113</f>
        <v>55438.891215411226</v>
      </c>
      <c r="H84" s="27">
        <f>'Cash Flow Analysis'!G6</f>
        <v>221493.6439187986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57909.901944417215</v>
      </c>
      <c r="E93" s="48">
        <f t="shared" ref="E93:G93" si="24">E90+E84</f>
        <v>57952.264129246163</v>
      </c>
      <c r="F93" s="48">
        <f t="shared" si="24"/>
        <v>57995.586629723999</v>
      </c>
      <c r="G93" s="48">
        <f t="shared" si="24"/>
        <v>58039.891215411226</v>
      </c>
      <c r="H93" s="27">
        <f>'Cash Flow Analysis'!G15</f>
        <v>231897.6439187986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1868.7133814387646</v>
      </c>
      <c r="E96" s="50">
        <f>SUM('Loan Amortization Table'!C41:C43)</f>
        <v>1911.0755662677125</v>
      </c>
      <c r="F96" s="50">
        <f>SUM('Loan Amortization Table'!C44:C46)</f>
        <v>1954.398066745548</v>
      </c>
      <c r="G96" s="50">
        <f>SUM('Loan Amortization Table'!C47:C49)</f>
        <v>1998.7026524327707</v>
      </c>
      <c r="H96" s="32">
        <f>'Cash Flow Analysis'!G18</f>
        <v>7732.8896668847947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11074.682195939931</v>
      </c>
      <c r="E98" s="50">
        <v>0</v>
      </c>
      <c r="F98" s="50">
        <v>0</v>
      </c>
      <c r="G98" s="50">
        <v>0</v>
      </c>
      <c r="H98" s="32">
        <f>'Cash Flow Analysis'!G20</f>
        <v>11074.682195939931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132896.18635127915</v>
      </c>
      <c r="H99" s="13">
        <f>'Cash Flow Analysis'!G21</f>
        <v>132896.18635127915</v>
      </c>
    </row>
    <row r="100" spans="3:8">
      <c r="C100" s="37" t="s">
        <v>26</v>
      </c>
      <c r="D100" s="51">
        <f>SUM(D96:D99)</f>
        <v>14764.095577378695</v>
      </c>
      <c r="E100" s="51">
        <f t="shared" ref="E100:G100" si="26">SUM(E96:E99)</f>
        <v>3731.7755662677123</v>
      </c>
      <c r="F100" s="51">
        <f t="shared" si="26"/>
        <v>3775.0980667455478</v>
      </c>
      <c r="G100" s="51">
        <f t="shared" si="26"/>
        <v>136715.58900371191</v>
      </c>
      <c r="H100" s="34">
        <f>'Cash Flow Analysis'!G22</f>
        <v>158986.55821410386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43145.806367038516</v>
      </c>
      <c r="E102" s="52">
        <f t="shared" ref="E102:G102" si="27">E93-E100</f>
        <v>54220.488562978448</v>
      </c>
      <c r="F102" s="52">
        <f t="shared" si="27"/>
        <v>54220.488562978455</v>
      </c>
      <c r="G102" s="52">
        <f t="shared" si="27"/>
        <v>-78675.697788300691</v>
      </c>
      <c r="H102" s="40">
        <f>'Cash Flow Analysis'!G24</f>
        <v>72911.085704694735</v>
      </c>
    </row>
    <row r="103" spans="3:8">
      <c r="C103" s="42" t="s">
        <v>6</v>
      </c>
      <c r="D103" s="52">
        <f>G77+D102</f>
        <v>200547.66201079468</v>
      </c>
      <c r="E103" s="52">
        <f>D103+E102</f>
        <v>254768.15057377313</v>
      </c>
      <c r="F103" s="52">
        <f t="shared" ref="F103:G103" si="28">E103+F102</f>
        <v>308988.63913675159</v>
      </c>
      <c r="G103" s="52">
        <f t="shared" si="28"/>
        <v>230312.9413484509</v>
      </c>
      <c r="H103" s="40">
        <f>'Cash Flow Analysis'!G25</f>
        <v>230312.9413484509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2025-10-07T14:21:34Z</dcterms:modified>
</cp:coreProperties>
</file>