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DNA Testing Lab\"/>
    </mc:Choice>
  </mc:AlternateContent>
  <xr:revisionPtr revIDLastSave="0" documentId="13_ncr:1_{E1AFD863-136E-47A0-AF61-680FF1B3F281}" xr6:coauthVersionLast="47" xr6:coauthVersionMax="47" xr10:uidLastSave="{00000000-0000-0000-0000-000000000000}"/>
  <bookViews>
    <workbookView xWindow="-1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Revenue Overview" sheetId="9" r:id="rId3"/>
    <sheet name="Use of Funds" sheetId="6" r:id="rId4"/>
    <sheet name="Profit and Loss Statement" sheetId="2" r:id="rId5"/>
    <sheet name="Cash Flow Analysis" sheetId="3" r:id="rId6"/>
    <sheet name="Balance Sheet" sheetId="4" r:id="rId7"/>
    <sheet name="Expanded Profit and Loss" sheetId="11" r:id="rId8"/>
    <sheet name=" Expanded Cash Flow Analysis" sheetId="12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7" l="1"/>
  <c r="L37" i="7"/>
  <c r="L38" i="7"/>
  <c r="L39" i="7"/>
  <c r="L40" i="7"/>
  <c r="L41" i="7"/>
  <c r="B25" i="7"/>
  <c r="B26" i="7"/>
  <c r="B27" i="7"/>
  <c r="B28" i="7"/>
  <c r="B29" i="7"/>
  <c r="G11" i="7" s="1"/>
  <c r="B30" i="7"/>
  <c r="B31" i="7"/>
  <c r="B32" i="7"/>
  <c r="B33" i="7"/>
  <c r="G15" i="7" s="1"/>
  <c r="G27" i="7" s="1"/>
  <c r="B24" i="7"/>
  <c r="E5" i="12"/>
  <c r="F5" i="12"/>
  <c r="G5" i="12"/>
  <c r="H5" i="12"/>
  <c r="D9" i="12"/>
  <c r="F11" i="12"/>
  <c r="F12" i="12" s="1"/>
  <c r="H8" i="14"/>
  <c r="G8" i="14"/>
  <c r="C33" i="23"/>
  <c r="J8" i="9"/>
  <c r="J9" i="9"/>
  <c r="J10" i="9"/>
  <c r="J11" i="9"/>
  <c r="J12" i="9"/>
  <c r="J13" i="9"/>
  <c r="J14" i="9"/>
  <c r="J15" i="9"/>
  <c r="E20" i="3"/>
  <c r="F8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D53" i="23"/>
  <c r="E53" i="23"/>
  <c r="J53" i="23"/>
  <c r="K53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G13" i="7"/>
  <c r="G14" i="7"/>
  <c r="L31" i="7"/>
  <c r="E9" i="4"/>
  <c r="F9" i="4" s="1"/>
  <c r="G9" i="4" s="1"/>
  <c r="F19" i="3"/>
  <c r="G19" i="3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G53" i="23" s="1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D58" i="7" s="1"/>
  <c r="E58" i="7" s="1"/>
  <c r="B59" i="7"/>
  <c r="B60" i="7"/>
  <c r="B61" i="7"/>
  <c r="B62" i="7"/>
  <c r="B63" i="7"/>
  <c r="B64" i="7"/>
  <c r="B65" i="7"/>
  <c r="B66" i="7"/>
  <c r="B67" i="7"/>
  <c r="B58" i="7"/>
  <c r="G10" i="7"/>
  <c r="G22" i="7" s="1"/>
  <c r="G26" i="7"/>
  <c r="D87" i="12"/>
  <c r="H87" i="12"/>
  <c r="D88" i="12"/>
  <c r="H88" i="12"/>
  <c r="E23" i="6"/>
  <c r="D61" i="12"/>
  <c r="H62" i="12"/>
  <c r="D62" i="12" s="1"/>
  <c r="H61" i="12"/>
  <c r="I36" i="12"/>
  <c r="G36" i="12" s="1"/>
  <c r="G37" i="12" s="1"/>
  <c r="F30" i="12"/>
  <c r="G30" i="12" s="1"/>
  <c r="H30" i="12" s="1"/>
  <c r="I5" i="12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L32" i="7" s="1"/>
  <c r="G8" i="7"/>
  <c r="G20" i="7" s="1"/>
  <c r="G9" i="7"/>
  <c r="L34" i="7" s="1"/>
  <c r="G6" i="7"/>
  <c r="G11" i="12" l="1"/>
  <c r="G12" i="12" s="1"/>
  <c r="H36" i="12"/>
  <c r="H37" i="12" s="1"/>
  <c r="E11" i="12"/>
  <c r="E12" i="12" s="1"/>
  <c r="E36" i="12"/>
  <c r="E37" i="12" s="1"/>
  <c r="D11" i="12"/>
  <c r="H11" i="12"/>
  <c r="H12" i="12" s="1"/>
  <c r="D10" i="12"/>
  <c r="D12" i="12" s="1"/>
  <c r="D33" i="23"/>
  <c r="D52" i="23" s="1"/>
  <c r="L35" i="7"/>
  <c r="D51" i="23"/>
  <c r="D56" i="23"/>
  <c r="D57" i="23"/>
  <c r="D59" i="23"/>
  <c r="C52" i="23"/>
  <c r="C61" i="23" s="1"/>
  <c r="C7" i="11" s="1"/>
  <c r="L53" i="23"/>
  <c r="F53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I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3" i="23"/>
  <c r="H53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3" i="23"/>
  <c r="M54" i="23"/>
  <c r="M55" i="23"/>
  <c r="M56" i="23"/>
  <c r="M57" i="23"/>
  <c r="M58" i="23"/>
  <c r="M59" i="23"/>
  <c r="M60" i="23"/>
  <c r="C42" i="23"/>
  <c r="C6" i="11" s="1"/>
  <c r="E51" i="23"/>
  <c r="L33" i="7"/>
  <c r="E23" i="23"/>
  <c r="G19" i="2" s="1"/>
  <c r="E42" i="23"/>
  <c r="F32" i="23"/>
  <c r="F33" i="23" s="1"/>
  <c r="I11" i="12"/>
  <c r="I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G8" i="10"/>
  <c r="H8" i="10" s="1"/>
  <c r="G60" i="7"/>
  <c r="G21" i="7"/>
  <c r="I9" i="7"/>
  <c r="G7" i="10"/>
  <c r="I34" i="12"/>
  <c r="F36" i="12"/>
  <c r="F37" i="12" s="1"/>
  <c r="G19" i="7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63" i="12"/>
  <c r="J9" i="7"/>
  <c r="D14" i="8"/>
  <c r="D113" i="11"/>
  <c r="C113" i="11"/>
  <c r="E113" i="11"/>
  <c r="F113" i="11"/>
  <c r="G83" i="11"/>
  <c r="G19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E19" i="12" l="1"/>
  <c r="F19" i="12"/>
  <c r="G19" i="12"/>
  <c r="H19" i="12"/>
  <c r="D19" i="12"/>
  <c r="E61" i="23"/>
  <c r="E7" i="11" s="1"/>
  <c r="C42" i="11"/>
  <c r="F26" i="9"/>
  <c r="F42" i="11"/>
  <c r="D61" i="23"/>
  <c r="D7" i="11" s="1"/>
  <c r="F28" i="9"/>
  <c r="F25" i="9"/>
  <c r="F29" i="9"/>
  <c r="F23" i="9"/>
  <c r="D42" i="11"/>
  <c r="F30" i="9"/>
  <c r="F27" i="9"/>
  <c r="F24" i="9"/>
  <c r="D42" i="23"/>
  <c r="F52" i="23"/>
  <c r="F51" i="23"/>
  <c r="E6" i="11"/>
  <c r="C66" i="23"/>
  <c r="G47" i="11"/>
  <c r="D19" i="11"/>
  <c r="H19" i="11"/>
  <c r="G14" i="11"/>
  <c r="I14" i="11"/>
  <c r="C19" i="11"/>
  <c r="F14" i="11"/>
  <c r="E14" i="11"/>
  <c r="H14" i="11"/>
  <c r="C14" i="11"/>
  <c r="G32" i="23"/>
  <c r="G33" i="23" s="1"/>
  <c r="D47" i="11"/>
  <c r="E42" i="11"/>
  <c r="G42" i="11"/>
  <c r="E23" i="9"/>
  <c r="E24" i="9"/>
  <c r="E22" i="9"/>
  <c r="F19" i="11"/>
  <c r="F47" i="11"/>
  <c r="C47" i="11"/>
  <c r="I19" i="11"/>
  <c r="E19" i="11"/>
  <c r="I16" i="7"/>
  <c r="D21" i="23" s="1"/>
  <c r="F17" i="2" s="1"/>
  <c r="H16" i="7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I19" i="12"/>
  <c r="H44" i="12"/>
  <c r="D44" i="12"/>
  <c r="J19" i="12"/>
  <c r="E44" i="12"/>
  <c r="F44" i="12"/>
  <c r="J7" i="7"/>
  <c r="H9" i="10"/>
  <c r="C26" i="11"/>
  <c r="C14" i="8"/>
  <c r="D18" i="12" s="1"/>
  <c r="F83" i="11"/>
  <c r="C83" i="11"/>
  <c r="D83" i="11"/>
  <c r="E83" i="11"/>
  <c r="G75" i="11"/>
  <c r="B15" i="8"/>
  <c r="A16" i="8"/>
  <c r="G51" i="23" l="1"/>
  <c r="E66" i="23"/>
  <c r="F42" i="23"/>
  <c r="F6" i="11" s="1"/>
  <c r="D6" i="11"/>
  <c r="D66" i="23"/>
  <c r="F61" i="23"/>
  <c r="F7" i="11" s="1"/>
  <c r="H32" i="23"/>
  <c r="H33" i="23" s="1"/>
  <c r="C21" i="23"/>
  <c r="E17" i="2" s="1"/>
  <c r="D75" i="11"/>
  <c r="F75" i="11"/>
  <c r="E75" i="11"/>
  <c r="J16" i="7"/>
  <c r="E8" i="4"/>
  <c r="I45" i="12"/>
  <c r="D20" i="12" s="1"/>
  <c r="D22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E14" i="8"/>
  <c r="D15" i="8" s="1"/>
  <c r="C15" i="8" s="1"/>
  <c r="E18" i="12" s="1"/>
  <c r="E22" i="12" s="1"/>
  <c r="F13" i="2"/>
  <c r="F20" i="2" s="1"/>
  <c r="G73" i="11"/>
  <c r="C75" i="11"/>
  <c r="G70" i="11"/>
  <c r="C8" i="11"/>
  <c r="B16" i="8"/>
  <c r="A17" i="8"/>
  <c r="M41" i="7" l="1"/>
  <c r="M38" i="7"/>
  <c r="M37" i="7"/>
  <c r="M36" i="7"/>
  <c r="M39" i="7"/>
  <c r="M40" i="7"/>
  <c r="F66" i="23"/>
  <c r="G42" i="23"/>
  <c r="G52" i="23"/>
  <c r="H52" i="23"/>
  <c r="H51" i="23"/>
  <c r="M34" i="7"/>
  <c r="M33" i="7"/>
  <c r="M35" i="7"/>
  <c r="M31" i="7"/>
  <c r="M32" i="7"/>
  <c r="I32" i="23"/>
  <c r="I33" i="23" s="1"/>
  <c r="H45" i="11"/>
  <c r="E21" i="23"/>
  <c r="G17" i="2" s="1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51" i="23" l="1"/>
  <c r="H42" i="23"/>
  <c r="H6" i="11" s="1"/>
  <c r="H61" i="23"/>
  <c r="H7" i="11" s="1"/>
  <c r="G61" i="23"/>
  <c r="G7" i="11" s="1"/>
  <c r="G6" i="11"/>
  <c r="J32" i="23"/>
  <c r="J33" i="23" s="1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26" i="11"/>
  <c r="A19" i="8"/>
  <c r="B18" i="8"/>
  <c r="E16" i="8" l="1"/>
  <c r="D17" i="8" s="1"/>
  <c r="C17" i="8" s="1"/>
  <c r="G18" i="12" s="1"/>
  <c r="G22" i="12" s="1"/>
  <c r="F18" i="12"/>
  <c r="F22" i="12" s="1"/>
  <c r="G66" i="23"/>
  <c r="H66" i="23"/>
  <c r="J52" i="23"/>
  <c r="J51" i="23"/>
  <c r="I42" i="23"/>
  <c r="I52" i="23"/>
  <c r="K32" i="23"/>
  <c r="K33" i="23" s="1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E10" i="11"/>
  <c r="A20" i="8"/>
  <c r="B19" i="8"/>
  <c r="F26" i="11" l="1"/>
  <c r="J42" i="23"/>
  <c r="C34" i="11" s="1"/>
  <c r="I61" i="23"/>
  <c r="I7" i="11" s="1"/>
  <c r="K52" i="23"/>
  <c r="K51" i="23"/>
  <c r="I6" i="11"/>
  <c r="J61" i="23"/>
  <c r="C35" i="11" s="1"/>
  <c r="L32" i="23"/>
  <c r="L33" i="23" s="1"/>
  <c r="H10" i="11"/>
  <c r="G10" i="11"/>
  <c r="G8" i="11"/>
  <c r="E17" i="8"/>
  <c r="D18" i="8" s="1"/>
  <c r="A21" i="8"/>
  <c r="B20" i="8"/>
  <c r="L51" i="23" l="1"/>
  <c r="L52" i="23"/>
  <c r="K61" i="23"/>
  <c r="D35" i="11" s="1"/>
  <c r="J66" i="23"/>
  <c r="K42" i="23"/>
  <c r="D34" i="11" s="1"/>
  <c r="I66" i="23"/>
  <c r="M32" i="23"/>
  <c r="M33" i="23" s="1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L61" i="23" l="1"/>
  <c r="E35" i="11" s="1"/>
  <c r="L42" i="23"/>
  <c r="E34" i="11" s="1"/>
  <c r="K66" i="23"/>
  <c r="M52" i="23"/>
  <c r="M51" i="23"/>
  <c r="N32" i="23"/>
  <c r="N33" i="23" s="1"/>
  <c r="C38" i="11"/>
  <c r="I8" i="11"/>
  <c r="I10" i="11"/>
  <c r="E18" i="8"/>
  <c r="D19" i="8" s="1"/>
  <c r="H26" i="11" s="1"/>
  <c r="A23" i="8"/>
  <c r="B22" i="8"/>
  <c r="N51" i="23" l="1"/>
  <c r="F21" i="9" s="1"/>
  <c r="M42" i="23"/>
  <c r="F34" i="11" s="1"/>
  <c r="L66" i="23"/>
  <c r="M61" i="23"/>
  <c r="F35" i="11" s="1"/>
  <c r="F6" i="9"/>
  <c r="G30" i="9"/>
  <c r="G8" i="9"/>
  <c r="G15" i="9"/>
  <c r="G27" i="9"/>
  <c r="G12" i="9"/>
  <c r="G23" i="9"/>
  <c r="C36" i="11"/>
  <c r="C19" i="8"/>
  <c r="I18" i="12" s="1"/>
  <c r="I22" i="12" s="1"/>
  <c r="A24" i="8"/>
  <c r="B23" i="8"/>
  <c r="M66" i="23" l="1"/>
  <c r="F7" i="9"/>
  <c r="N52" i="23"/>
  <c r="N42" i="23"/>
  <c r="G6" i="9"/>
  <c r="G21" i="9"/>
  <c r="E38" i="11"/>
  <c r="G13" i="9"/>
  <c r="H23" i="9"/>
  <c r="H12" i="9"/>
  <c r="H8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F6" i="2" l="1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C20" i="23"/>
  <c r="E16" i="2" s="1"/>
  <c r="H44" i="11" s="1"/>
  <c r="C22" i="23"/>
  <c r="E18" i="2" s="1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20" i="23" l="1"/>
  <c r="F16" i="2" s="1"/>
  <c r="G72" i="11" s="1"/>
  <c r="C72" i="11" s="1"/>
  <c r="D22" i="23"/>
  <c r="F18" i="2" s="1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22" i="23" l="1"/>
  <c r="G18" i="2" s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E20" i="23"/>
  <c r="G16" i="2" s="1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E21" i="3" s="1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G84" i="11"/>
  <c r="C38" i="8"/>
  <c r="B64" i="8"/>
  <c r="A65" i="8"/>
  <c r="F21" i="3" l="1"/>
  <c r="F20" i="3"/>
  <c r="F28" i="3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114" i="11"/>
  <c r="B94" i="8"/>
  <c r="A95" i="8"/>
  <c r="G21" i="3" l="1"/>
  <c r="H99" i="12" s="1"/>
  <c r="G99" i="12" s="1"/>
  <c r="G100" i="12" s="1"/>
  <c r="G20" i="3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s="1"/>
  <c r="E260" i="8" s="1"/>
  <c r="A262" i="8" l="1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A271" i="8"/>
  <c r="B270" i="8"/>
  <c r="D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/>
  <c r="B274" i="8"/>
  <c r="A275" i="8"/>
  <c r="C274" i="8" l="1"/>
  <c r="E274" i="8" s="1"/>
  <c r="A276" i="8"/>
  <c r="D275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A289" i="8"/>
  <c r="B288" i="8"/>
  <c r="D288" i="8"/>
  <c r="C288" i="8" l="1"/>
  <c r="E288" i="8" s="1"/>
  <c r="D289" i="8" s="1"/>
  <c r="B289" i="8"/>
  <c r="A290" i="8"/>
  <c r="C289" i="8" l="1"/>
  <c r="E289" i="8" s="1"/>
  <c r="B290" i="8"/>
  <c r="D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B295" i="8"/>
  <c r="C295" i="8" s="1"/>
  <c r="E295" i="8" s="1"/>
  <c r="D295" i="8"/>
  <c r="A296" i="8"/>
  <c r="D296" i="8" l="1"/>
  <c r="B296" i="8"/>
  <c r="C296" i="8" s="1"/>
  <c r="E296" i="8" s="1"/>
  <c r="A297" i="8"/>
  <c r="D297" i="8" l="1"/>
  <c r="A298" i="8"/>
  <c r="B297" i="8"/>
  <c r="C297" i="8" l="1"/>
  <c r="E297" i="8" s="1"/>
  <c r="D298" i="8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B306" i="8"/>
  <c r="D306" i="8"/>
  <c r="A307" i="8"/>
  <c r="C306" i="8" l="1"/>
  <c r="E306" i="8" s="1"/>
  <c r="D307" i="8" s="1"/>
  <c r="B307" i="8"/>
  <c r="A308" i="8"/>
  <c r="C307" i="8" l="1"/>
  <c r="E307" i="8" s="1"/>
  <c r="B308" i="8"/>
  <c r="D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B314" i="8"/>
  <c r="A315" i="8"/>
  <c r="D314" i="8"/>
  <c r="C314" i="8" l="1"/>
  <c r="E314" i="8" s="1"/>
  <c r="D315" i="8"/>
  <c r="A316" i="8"/>
  <c r="B315" i="8"/>
  <c r="C315" i="8" l="1"/>
  <c r="E315" i="8" s="1"/>
  <c r="D316" i="8"/>
  <c r="B316" i="8"/>
  <c r="A317" i="8"/>
  <c r="C316" i="8" l="1"/>
  <c r="E316" i="8" s="1"/>
  <c r="A318" i="8"/>
  <c r="B317" i="8"/>
  <c r="D317" i="8"/>
  <c r="C317" i="8" s="1"/>
  <c r="E317" i="8" s="1"/>
  <c r="A319" i="8" l="1"/>
  <c r="B318" i="8"/>
  <c r="D318" i="8"/>
  <c r="C318" i="8" l="1"/>
  <c r="E318" i="8" s="1"/>
  <c r="B319" i="8"/>
  <c r="D319" i="8"/>
  <c r="C319" i="8" s="1"/>
  <c r="E319" i="8" s="1"/>
  <c r="A320" i="8"/>
  <c r="B320" i="8" l="1"/>
  <c r="D320" i="8"/>
  <c r="A321" i="8"/>
  <c r="C320" i="8" l="1"/>
  <c r="E320" i="8" s="1"/>
  <c r="D321" i="8" s="1"/>
  <c r="A322" i="8"/>
  <c r="B321" i="8"/>
  <c r="C321" i="8" l="1"/>
  <c r="E321" i="8" s="1"/>
  <c r="D322" i="8"/>
  <c r="A323" i="8"/>
  <c r="B322" i="8"/>
  <c r="C322" i="8" s="1"/>
  <c r="E322" i="8" s="1"/>
  <c r="A324" i="8" l="1"/>
  <c r="D323" i="8"/>
  <c r="B323" i="8"/>
  <c r="C323" i="8" s="1"/>
  <c r="E323" i="8" s="1"/>
  <c r="A325" i="8" l="1"/>
  <c r="D324" i="8"/>
  <c r="B324" i="8"/>
  <c r="C324" i="8" s="1"/>
  <c r="E324" i="8" s="1"/>
  <c r="B325" i="8" l="1"/>
  <c r="D325" i="8"/>
  <c r="C325" i="8" s="1"/>
  <c r="E325" i="8" s="1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C328" i="8" s="1"/>
  <c r="E328" i="8" s="1"/>
  <c r="B328" i="8"/>
  <c r="A329" i="8"/>
  <c r="B329" i="8" l="1"/>
  <c r="A330" i="8"/>
  <c r="D329" i="8"/>
  <c r="C329" i="8" l="1"/>
  <c r="E329" i="8" s="1"/>
  <c r="D330" i="8" s="1"/>
  <c r="B330" i="8"/>
  <c r="A331" i="8"/>
  <c r="C330" i="8" l="1"/>
  <c r="E330" i="8" s="1"/>
  <c r="B331" i="8"/>
  <c r="C331" i="8" s="1"/>
  <c r="E331" i="8" s="1"/>
  <c r="D331" i="8"/>
  <c r="A332" i="8"/>
  <c r="B332" i="8" l="1"/>
  <c r="D332" i="8"/>
  <c r="A333" i="8"/>
  <c r="C332" i="8" l="1"/>
  <c r="E332" i="8" s="1"/>
  <c r="D333" i="8"/>
  <c r="A334" i="8"/>
  <c r="B333" i="8"/>
  <c r="C333" i="8" s="1"/>
  <c r="E333" i="8" s="1"/>
  <c r="D334" i="8" l="1"/>
  <c r="B334" i="8"/>
  <c r="C334" i="8" s="1"/>
  <c r="E334" i="8" s="1"/>
  <c r="A335" i="8"/>
  <c r="A336" i="8" l="1"/>
  <c r="B335" i="8"/>
  <c r="D335" i="8"/>
  <c r="C335" i="8" s="1"/>
  <c r="E335" i="8" s="1"/>
  <c r="A337" i="8" l="1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C343" i="8" s="1"/>
  <c r="E343" i="8" s="1"/>
  <c r="A344" i="8"/>
  <c r="B343" i="8"/>
  <c r="B344" i="8" l="1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C355" i="8" s="1"/>
  <c r="E355" i="8" s="1"/>
  <c r="D355" i="8"/>
  <c r="B356" i="8" l="1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C363" i="8" s="1"/>
  <c r="E363" i="8" s="1"/>
  <c r="A364" i="8"/>
  <c r="D364" i="8" l="1"/>
  <c r="B364" i="8"/>
  <c r="C364" i="8" s="1"/>
  <c r="E364" i="8" s="1"/>
  <c r="A365" i="8"/>
  <c r="A366" i="8" l="1"/>
  <c r="D365" i="8"/>
  <c r="B365" i="8"/>
  <c r="C365" i="8" l="1"/>
  <c r="E365" i="8" s="1"/>
  <c r="D366" i="8"/>
  <c r="B366" i="8"/>
  <c r="A367" i="8"/>
  <c r="C366" i="8" l="1"/>
  <c r="E366" i="8" s="1"/>
  <c r="D367" i="8"/>
  <c r="B367" i="8"/>
  <c r="C367" i="8" s="1"/>
  <c r="E367" i="8" s="1"/>
  <c r="A368" i="8"/>
  <c r="D368" i="8" l="1"/>
  <c r="A369" i="8"/>
  <c r="B368" i="8"/>
  <c r="C368" i="8" s="1"/>
  <c r="E368" i="8" s="1"/>
  <c r="A370" i="8" l="1"/>
  <c r="D369" i="8"/>
  <c r="B369" i="8"/>
  <c r="C369" i="8" s="1"/>
  <c r="E369" i="8" s="1"/>
  <c r="A371" i="8" l="1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<sst xmlns="http://schemas.openxmlformats.org/spreadsheetml/2006/main" count="315" uniqueCount="136">
  <si>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</si>
  <si>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</si>
  <si>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</si>
  <si>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</si>
  <si>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</si>
  <si>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</si>
  <si>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</si>
  <si>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</si>
  <si>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</si>
  <si>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</si>
  <si>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</si>
  <si>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</si>
  <si>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</si>
  <si>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</si>
  <si>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</si>
  <si>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</si>
  <si>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</si>
  <si>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</si>
  <si>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</si>
  <si>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</si>
  <si>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</si>
  <si>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</si>
  <si>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</si>
  <si>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</si>
  <si>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</si>
  <si>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</si>
  <si>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</si>
  <si>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</si>
  <si>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</si>
  <si>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</si>
  <si>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</si>
  <si>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</si>
  <si>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</si>
  <si>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</si>
  <si>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</si>
  <si>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</si>
  <si>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</si>
  <si>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</si>
  <si>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</si>
  <si>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</si>
  <si>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</si>
  <si>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</si>
  <si>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</si>
  <si>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</si>
  <si>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</si>
  <si>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</si>
  <si>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</si>
  <si>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</si>
  <si>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</si>
  <si>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</si>
  <si>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</si>
  <si>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</si>
  <si>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</si>
  <si>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</si>
  <si>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</si>
  <si>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</si>
  <si>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</si>
  <si>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</si>
  <si>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</si>
  <si>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</si>
  <si>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</si>
  <si>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</si>
  <si>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</si>
  <si>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</si>
  <si>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</si>
  <si>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</si>
  <si>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</si>
  <si>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</si>
  <si>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</si>
  <si>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</si>
  <si>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</si>
  <si>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</si>
  <si>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</si>
  <si>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</si>
  <si>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</si>
  <si>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</si>
  <si>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</si>
  <si>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</si>
  <si>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</si>
  <si>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</si>
  <si>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</si>
  <si>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</si>
  <si>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</si>
  <si>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</si>
  <si>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</si>
  <si>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</si>
  <si>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</si>
  <si>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</si>
  <si>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</si>
  <si>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</si>
  <si>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</si>
  <si>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</si>
  <si>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</si>
  <si>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</si>
  <si>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</si>
  <si>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</si>
  <si>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</si>
  <si>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</si>
  <si>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</si>
  <si>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Bank Loan</t>
  </si>
  <si>
    <t>Total Financing</t>
  </si>
  <si>
    <t>Cost of Revenue Overview</t>
  </si>
  <si>
    <t>State Income Tax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</si>
  <si>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</si>
  <si>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</si>
  <si>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</si>
  <si>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</si>
  <si>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</si>
  <si>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</si>
  <si>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</si>
  <si>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</si>
  <si>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</si>
  <si>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</si>
  <si>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</si>
  <si>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</si>
  <si>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Initial Marketing</t>
  </si>
  <si>
    <t>Initial Payroll</t>
  </si>
  <si>
    <t>Facility Costs</t>
  </si>
  <si>
    <t>Marketing</t>
  </si>
  <si>
    <t>Equipment Costs</t>
  </si>
  <si>
    <t>Position 6</t>
  </si>
  <si>
    <t>Position 10</t>
  </si>
  <si>
    <t>Fixed Assets</t>
  </si>
  <si>
    <t>Yearly Growth Rate</t>
  </si>
  <si>
    <t>Administrative Staff</t>
  </si>
  <si>
    <t>Owner</t>
  </si>
  <si>
    <t>Other Income</t>
  </si>
  <si>
    <t>Billing Staff</t>
  </si>
  <si>
    <t>Laboratory Services</t>
  </si>
  <si>
    <t>Operational Managers</t>
  </si>
  <si>
    <t>Technicians</t>
  </si>
  <si>
    <t>Equipment and Buildout</t>
  </si>
  <si>
    <t>Postion 7</t>
  </si>
  <si>
    <t>Postion 8</t>
  </si>
  <si>
    <t>Postion 9</t>
  </si>
  <si>
    <t>https://HumanIntelligenceBusinessPlans.com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</si>
</sst>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155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0" fontId="0" fillId="3" borderId="3" xfId="0" applyFill="1" applyBorder="1" applyAlignment="1">
      <alignment horizontal="center"/>
    </xf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164" fontId="0" fillId="11" borderId="1" xfId="0" applyNumberFormat="1" applyFill="1" applyBorder="1" applyProtection="1">
      <protection locked="0"/>
    </xf>
    <xf numFmtId="0" fontId="11" fillId="0" borderId="0" xfId="2"/>
  </cellXfs>
  <cellStyles count="3">
    <cellStyle name="Hyperlink" xfId="2" builtinId="8"/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157060.08697971748</c:v>
                </c:pt>
                <c:pt idx="1">
                  <c:v>278176.26223406679</c:v>
                </c:pt>
                <c:pt idx="2">
                  <c:v>385014.96826159587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16158.48006752842</c:v>
                </c:pt>
                <c:pt idx="1">
                  <c:v>17674.256953741678</c:v>
                </c:pt>
                <c:pt idx="2">
                  <c:v>19332.224167211985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109942.06088580223</c:v>
                </c:pt>
                <c:pt idx="1">
                  <c:v>194723.38356384673</c:v>
                </c:pt>
                <c:pt idx="2">
                  <c:v>269510.47778311709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157060.08697971748</c:v>
                </c:pt>
                <c:pt idx="1">
                  <c:v>278176.26223406679</c:v>
                </c:pt>
                <c:pt idx="2">
                  <c:v>385014.96826159587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D640-4C3D-915A-6719B7570B6E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D640-4C3D-915A-6719B7570B6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109942.06088580223</c:v>
                </c:pt>
                <c:pt idx="1">
                  <c:v>194723.38356384673</c:v>
                </c:pt>
                <c:pt idx="2">
                  <c:v>269510.47778311709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323510.14602638682</c:v>
                </c:pt>
                <c:pt idx="1">
                  <c:v>236392.11993247157</c:v>
                </c:pt>
                <c:pt idx="2">
                  <c:v>87118.02609391525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381890.37974286522</c:v>
                </c:pt>
                <c:pt idx="1">
                  <c:v>221319.47497872991</c:v>
                </c:pt>
                <c:pt idx="2">
                  <c:v>160570.90476413531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470716.29029413202</c:v>
                </c:pt>
                <c:pt idx="1">
                  <c:v>204640.89505151793</c:v>
                </c:pt>
                <c:pt idx="2">
                  <c:v>266075.39524261409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323510.14602638682</c:v>
                </c:pt>
                <c:pt idx="1">
                  <c:v>381890.37974286522</c:v>
                </c:pt>
                <c:pt idx="2">
                  <c:v>470716.29029413202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33-4E1A-8115-EAD778C5AAC7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236392.11993247157</c:v>
                </c:pt>
                <c:pt idx="1">
                  <c:v>221319.47497872991</c:v>
                </c:pt>
                <c:pt idx="2">
                  <c:v>204640.89505151793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33-4E1A-8115-EAD778C5AAC7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87118.02609391525</c:v>
                </c:pt>
                <c:pt idx="1">
                  <c:v>160570.90476413531</c:v>
                </c:pt>
                <c:pt idx="2">
                  <c:v>266075.39524261409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33-4E1A-8115-EAD778C5A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9537695"/>
        <c:axId val="1026053439"/>
      </c:barChart>
      <c:catAx>
        <c:axId val="1729537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6053439"/>
        <c:crosses val="autoZero"/>
        <c:auto val="1"/>
        <c:lblAlgn val="ctr"/>
        <c:lblOffset val="100"/>
        <c:noMultiLvlLbl val="0"/>
      </c:catAx>
      <c:valAx>
        <c:axId val="102605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537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817722.74673684209</c:v>
                </c:pt>
                <c:pt idx="1">
                  <c:v>851665.91450526321</c:v>
                </c:pt>
                <c:pt idx="2">
                  <c:v>885780.91483894736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817722.74673684209</c:v>
                </c:pt>
                <c:pt idx="1">
                  <c:v>851665.91450526321</c:v>
                </c:pt>
                <c:pt idx="2">
                  <c:v>885780.91483894736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1072386</c:v>
                </c:pt>
                <c:pt idx="1">
                  <c:v>1286863.2</c:v>
                </c:pt>
                <c:pt idx="2">
                  <c:v>1479892.68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776836.60939999996</c:v>
                </c:pt>
                <c:pt idx="1">
                  <c:v>809082.61878000002</c:v>
                </c:pt>
                <c:pt idx="2">
                  <c:v>841491.86909699999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241930.0906</c:v>
                </c:pt>
                <c:pt idx="1">
                  <c:v>413437.42122000002</c:v>
                </c:pt>
                <c:pt idx="2">
                  <c:v>564406.17690299987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1072386</c:v>
                </c:pt>
                <c:pt idx="1">
                  <c:v>1286863.2</c:v>
                </c:pt>
                <c:pt idx="2">
                  <c:v>1479892.68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083829327159347E-2"/>
                  <c:y val="5.7273740210902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7.6200960316853597E-2"/>
                  <c:y val="0.12073626572540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241930.0906</c:v>
                </c:pt>
                <c:pt idx="1">
                  <c:v>413437.42122000002</c:v>
                </c:pt>
                <c:pt idx="2">
                  <c:v>564406.17690299987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7739251040221916E-2"/>
                  <c:y val="-6.7895284641143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776836.60939999996</c:v>
                </c:pt>
                <c:pt idx="1">
                  <c:v>809082.61878000002</c:v>
                </c:pt>
                <c:pt idx="2">
                  <c:v>841491.86909699999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8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'Balance Sheet'!$E$10:$I$10</c15:sqref>
                  </c15:fullRef>
                </c:ext>
              </c:extLst>
              <c:f>'Balance Sheet'!$E$10:$G$10</c:f>
              <c:numCache>
                <c:formatCode>"$"#,##0</c:formatCode>
                <c:ptCount val="3"/>
                <c:pt idx="0">
                  <c:v>323510.14602638682</c:v>
                </c:pt>
                <c:pt idx="1">
                  <c:v>381890.37974286522</c:v>
                </c:pt>
                <c:pt idx="2">
                  <c:v>470716.29029413202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E-45FF-AD24-3971A5E8200C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'Balance Sheet'!$E$15:$I$15</c15:sqref>
                  </c15:fullRef>
                </c:ext>
              </c:extLst>
              <c:f>'Balance Sheet'!$E$15:$G$15</c:f>
              <c:numCache>
                <c:formatCode>"$"#,##0</c:formatCode>
                <c:ptCount val="3"/>
                <c:pt idx="0">
                  <c:v>236392.11993247157</c:v>
                </c:pt>
                <c:pt idx="1">
                  <c:v>221319.47497872991</c:v>
                </c:pt>
                <c:pt idx="2">
                  <c:v>204640.89505151793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5E-45FF-AD24-3971A5E8200C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8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'Balance Sheet'!$E$17:$I$17</c15:sqref>
                  </c15:fullRef>
                </c:ext>
              </c:extLst>
              <c:f>'Balance Sheet'!$E$17:$G$17</c:f>
              <c:numCache>
                <c:formatCode>"$"#,##0</c:formatCode>
                <c:ptCount val="3"/>
                <c:pt idx="0">
                  <c:v>87118.02609391525</c:v>
                </c:pt>
                <c:pt idx="1">
                  <c:v>160570.90476413531</c:v>
                </c:pt>
                <c:pt idx="2">
                  <c:v>266075.39524261409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5E-45FF-AD24-3971A5E82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7957968"/>
        <c:axId val="1217958448"/>
      </c:barChart>
      <c:catAx>
        <c:axId val="1217957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958448"/>
        <c:crosses val="autoZero"/>
        <c:auto val="1"/>
        <c:lblAlgn val="ctr"/>
        <c:lblOffset val="100"/>
        <c:noMultiLvlLbl val="0"/>
      </c:catAx>
      <c:valAx>
        <c:axId val="1217958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95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Laboratory Services</c:v>
                </c:pt>
                <c:pt idx="1">
                  <c:v>Other Income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0.95238095238095233</c:v>
                </c:pt>
                <c:pt idx="1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7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5F-4993-A39C-04527208037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BC-466C-B2AB-9A67625D11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'Personnel - Editable'!$L$31:$L$35</c:f>
              <c:strCache>
                <c:ptCount val="5"/>
                <c:pt idx="0">
                  <c:v>Owner</c:v>
                </c:pt>
                <c:pt idx="1">
                  <c:v>Operational Managers</c:v>
                </c:pt>
                <c:pt idx="2">
                  <c:v>Technicians</c:v>
                </c:pt>
                <c:pt idx="3">
                  <c:v>Billing Staff</c:v>
                </c:pt>
                <c:pt idx="4">
                  <c:v>Administrative Staff</c:v>
                </c:pt>
              </c:strCache>
            </c:strRef>
          </c:cat>
          <c:val>
            <c:numRef>
              <c:f>'Personnel - Editable'!$M$31:$M$35</c:f>
              <c:numCache>
                <c:formatCode>0.0%</c:formatCode>
                <c:ptCount val="5"/>
                <c:pt idx="0">
                  <c:v>0.24896265560165975</c:v>
                </c:pt>
                <c:pt idx="1">
                  <c:v>0.16597510373443983</c:v>
                </c:pt>
                <c:pt idx="2">
                  <c:v>0.37344398340248963</c:v>
                </c:pt>
                <c:pt idx="3">
                  <c:v>6.2240663900414939E-2</c:v>
                </c:pt>
                <c:pt idx="4">
                  <c:v>0.14937759336099585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Laboratory Services</c:v>
                </c:pt>
                <c:pt idx="1">
                  <c:v>Other Income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0.95238095238095233</c:v>
                </c:pt>
                <c:pt idx="1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558147003776414E-2"/>
          <c:y val="0.1578209207139363"/>
          <c:w val="0.74289511279444498"/>
          <c:h val="0.754492582019427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'Use of Funds'!$D$6:$D$9</c:f>
              <c:strCache>
                <c:ptCount val="4"/>
                <c:pt idx="0">
                  <c:v>Equipment and Buildout</c:v>
                </c:pt>
                <c:pt idx="1">
                  <c:v>Initial Payroll</c:v>
                </c:pt>
                <c:pt idx="2">
                  <c:v>Initial Marketing</c:v>
                </c:pt>
                <c:pt idx="3">
                  <c:v>Working Capital</c:v>
                </c:pt>
              </c:strCache>
            </c:strRef>
          </c:cat>
          <c:val>
            <c:numRef>
              <c:f>'Use of Funds'!$E$6:$E$9</c:f>
              <c:numCache>
                <c:formatCode>"$"#,##0</c:formatCode>
                <c:ptCount val="4"/>
                <c:pt idx="0">
                  <c:v>200000</c:v>
                </c:pt>
                <c:pt idx="1">
                  <c:v>25000</c:v>
                </c:pt>
                <c:pt idx="2">
                  <c:v>35000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1072386</c:v>
                </c:pt>
                <c:pt idx="1">
                  <c:v>1286863.2</c:v>
                </c:pt>
                <c:pt idx="2">
                  <c:v>1479892.68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776836.60939999996</c:v>
                </c:pt>
                <c:pt idx="1">
                  <c:v>809082.61878000002</c:v>
                </c:pt>
                <c:pt idx="2">
                  <c:v>841491.86909699999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241930.0906</c:v>
                </c:pt>
                <c:pt idx="1">
                  <c:v>413437.42122000002</c:v>
                </c:pt>
                <c:pt idx="2">
                  <c:v>564406.17690299987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1072386</c:v>
                </c:pt>
                <c:pt idx="1">
                  <c:v>1286863.2</c:v>
                </c:pt>
                <c:pt idx="2">
                  <c:v>1479892.68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296544035674062E-3"/>
                  <c:y val="-4.3228634375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-7.1135979797397123E-3"/>
                  <c:y val="6.214116191421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241930.0906</c:v>
                </c:pt>
                <c:pt idx="1">
                  <c:v>413437.42122000002</c:v>
                </c:pt>
                <c:pt idx="2">
                  <c:v>564406.17690299987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782505507821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0"/>
                  <c:y val="-2.4316106835995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776836.60939999996</c:v>
                </c:pt>
                <c:pt idx="1">
                  <c:v>809082.61878000002</c:v>
                </c:pt>
                <c:pt idx="2">
                  <c:v>841491.86909699999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157060.08697971748</c:v>
                </c:pt>
                <c:pt idx="1">
                  <c:v>278176.26223406679</c:v>
                </c:pt>
                <c:pt idx="2">
                  <c:v>385014.96826159587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16158.48006752842</c:v>
                </c:pt>
                <c:pt idx="1">
                  <c:v>17674.256953741678</c:v>
                </c:pt>
                <c:pt idx="2">
                  <c:v>19332.224167211985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5-40CC-8B5D-E844E5AA74E4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109942.06088580223</c:v>
                </c:pt>
                <c:pt idx="1">
                  <c:v>194723.38356384673</c:v>
                </c:pt>
                <c:pt idx="2">
                  <c:v>269510.47778311709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157060.08697971748</c:v>
                </c:pt>
                <c:pt idx="1">
                  <c:v>278176.26223406679</c:v>
                </c:pt>
                <c:pt idx="2">
                  <c:v>385014.96826159587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3E81-4EE9-A54F-40F0FE53F5A9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3E81-4EE9-A54F-40F0FE53F5A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109942.06088580223</c:v>
                </c:pt>
                <c:pt idx="1">
                  <c:v>194723.38356384673</c:v>
                </c:pt>
                <c:pt idx="2">
                  <c:v>269510.47778311709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104774</xdr:rowOff>
    </xdr:from>
    <xdr:to>
      <xdr:col>21</xdr:col>
      <xdr:colOff>285749</xdr:colOff>
      <xdr:row>27</xdr:row>
      <xdr:rowOff>95249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39F399-B86D-1212-548D-0090E97A1487}"/>
            </a:ext>
          </a:extLst>
        </xdr:cNvPr>
        <xdr:cNvGrpSpPr/>
      </xdr:nvGrpSpPr>
      <xdr:grpSpPr>
        <a:xfrm>
          <a:off x="6095999" y="104774"/>
          <a:ext cx="10810875" cy="5133975"/>
          <a:chOff x="0" y="-10497"/>
          <a:chExt cx="12192000" cy="685800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EE5B852-BE72-72F2-0956-09ECC6376077}"/>
              </a:ext>
            </a:extLst>
          </xdr:cNvPr>
          <xdr:cNvSpPr/>
        </xdr:nvSpPr>
        <xdr:spPr>
          <a:xfrm>
            <a:off x="0" y="-10497"/>
            <a:ext cx="12192000" cy="6858000"/>
          </a:xfrm>
          <a:prstGeom prst="rect">
            <a:avLst/>
          </a:prstGeom>
          <a:gradFill>
            <a:gsLst>
              <a:gs pos="0">
                <a:schemeClr val="bg1"/>
              </a:gs>
              <a:gs pos="92000">
                <a:schemeClr val="accent5">
                  <a:lumMod val="40000"/>
                  <a:lumOff val="60000"/>
                </a:schemeClr>
              </a:gs>
            </a:gsLst>
            <a:lin ang="1800000" scaled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B4E60E3B-3427-9091-1C4C-0092D372E5B2}"/>
              </a:ext>
            </a:extLst>
          </xdr:cNvPr>
          <xdr:cNvSpPr/>
        </xdr:nvSpPr>
        <xdr:spPr>
          <a:xfrm>
            <a:off x="0" y="-6998"/>
            <a:ext cx="12192000" cy="6851002"/>
          </a:xfrm>
          <a:custGeom>
            <a:avLst/>
            <a:gdLst>
              <a:gd name="connsiteX0" fmla="*/ 8164286 w 12192000"/>
              <a:gd name="connsiteY0" fmla="*/ 0 h 6851002"/>
              <a:gd name="connsiteX1" fmla="*/ 8285584 w 12192000"/>
              <a:gd name="connsiteY1" fmla="*/ 0 h 6851002"/>
              <a:gd name="connsiteX2" fmla="*/ 8285584 w 12192000"/>
              <a:gd name="connsiteY2" fmla="*/ 3331028 h 6851002"/>
              <a:gd name="connsiteX3" fmla="*/ 12192000 w 12192000"/>
              <a:gd name="connsiteY3" fmla="*/ 3331028 h 6851002"/>
              <a:gd name="connsiteX4" fmla="*/ 12192000 w 12192000"/>
              <a:gd name="connsiteY4" fmla="*/ 3429000 h 6851002"/>
              <a:gd name="connsiteX5" fmla="*/ 4142793 w 12192000"/>
              <a:gd name="connsiteY5" fmla="*/ 3429000 h 6851002"/>
              <a:gd name="connsiteX6" fmla="*/ 4142793 w 12192000"/>
              <a:gd name="connsiteY6" fmla="*/ 6851002 h 6851002"/>
              <a:gd name="connsiteX7" fmla="*/ 4021496 w 12192000"/>
              <a:gd name="connsiteY7" fmla="*/ 6851002 h 6851002"/>
              <a:gd name="connsiteX8" fmla="*/ 4021496 w 12192000"/>
              <a:gd name="connsiteY8" fmla="*/ 3429000 h 6851002"/>
              <a:gd name="connsiteX9" fmla="*/ 0 w 12192000"/>
              <a:gd name="connsiteY9" fmla="*/ 3429000 h 6851002"/>
              <a:gd name="connsiteX10" fmla="*/ 0 w 12192000"/>
              <a:gd name="connsiteY10" fmla="*/ 3331028 h 6851002"/>
              <a:gd name="connsiteX11" fmla="*/ 8164286 w 12192000"/>
              <a:gd name="connsiteY11" fmla="*/ 3331028 h 68510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192000" h="6851002">
                <a:moveTo>
                  <a:pt x="8164286" y="0"/>
                </a:moveTo>
                <a:lnTo>
                  <a:pt x="8285584" y="0"/>
                </a:lnTo>
                <a:lnTo>
                  <a:pt x="8285584" y="3331028"/>
                </a:lnTo>
                <a:lnTo>
                  <a:pt x="12192000" y="3331028"/>
                </a:lnTo>
                <a:lnTo>
                  <a:pt x="12192000" y="3429000"/>
                </a:lnTo>
                <a:lnTo>
                  <a:pt x="4142793" y="3429000"/>
                </a:lnTo>
                <a:lnTo>
                  <a:pt x="4142793" y="6851002"/>
                </a:lnTo>
                <a:lnTo>
                  <a:pt x="4021496" y="6851002"/>
                </a:lnTo>
                <a:lnTo>
                  <a:pt x="4021496" y="3429000"/>
                </a:lnTo>
                <a:lnTo>
                  <a:pt x="0" y="3429000"/>
                </a:lnTo>
                <a:lnTo>
                  <a:pt x="0" y="3331028"/>
                </a:lnTo>
                <a:lnTo>
                  <a:pt x="8164286" y="3331028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466725</xdr:colOff>
      <xdr:row>2</xdr:row>
      <xdr:rowOff>152400</xdr:rowOff>
    </xdr:from>
    <xdr:to>
      <xdr:col>21</xdr:col>
      <xdr:colOff>47625</xdr:colOff>
      <xdr:row>11</xdr:row>
      <xdr:rowOff>100013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BEF04C7F-986B-4104-80E9-6121D96335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428625</xdr:colOff>
      <xdr:row>28</xdr:row>
      <xdr:rowOff>171450</xdr:rowOff>
    </xdr:from>
    <xdr:to>
      <xdr:col>20</xdr:col>
      <xdr:colOff>209550</xdr:colOff>
      <xdr:row>39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996AEB-70B4-4B71-A271-E6339833F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2150" y="55054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276225</xdr:colOff>
      <xdr:row>0</xdr:row>
      <xdr:rowOff>171450</xdr:rowOff>
    </xdr:from>
    <xdr:to>
      <xdr:col>22</xdr:col>
      <xdr:colOff>57150</xdr:colOff>
      <xdr:row>11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0E593F-934B-4B11-BE8C-7F23B92BF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1714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28575</xdr:colOff>
      <xdr:row>2</xdr:row>
      <xdr:rowOff>142875</xdr:rowOff>
    </xdr:from>
    <xdr:to>
      <xdr:col>25</xdr:col>
      <xdr:colOff>419100</xdr:colOff>
      <xdr:row>13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CD454A-EFA5-4B83-A52B-D1C3F4E63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8925" y="5238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61912</xdr:colOff>
      <xdr:row>9</xdr:row>
      <xdr:rowOff>119062</xdr:rowOff>
    </xdr:from>
    <xdr:to>
      <xdr:col>10</xdr:col>
      <xdr:colOff>104775</xdr:colOff>
      <xdr:row>24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352425</xdr:colOff>
      <xdr:row>0</xdr:row>
      <xdr:rowOff>38100</xdr:rowOff>
    </xdr:from>
    <xdr:to>
      <xdr:col>25</xdr:col>
      <xdr:colOff>133350</xdr:colOff>
      <xdr:row>11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910E0B-CC10-44D4-8979-A57B01C0D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0" y="381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123825</xdr:colOff>
      <xdr:row>1</xdr:row>
      <xdr:rowOff>19050</xdr:rowOff>
    </xdr:from>
    <xdr:to>
      <xdr:col>25</xdr:col>
      <xdr:colOff>514350</xdr:colOff>
      <xdr:row>12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EFF794-D3D9-4A40-BC47-44557A23D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54175" y="2095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2</xdr:row>
      <xdr:rowOff>161925</xdr:rowOff>
    </xdr:from>
    <xdr:to>
      <xdr:col>18</xdr:col>
      <xdr:colOff>152399</xdr:colOff>
      <xdr:row>24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114300</xdr:colOff>
      <xdr:row>2</xdr:row>
      <xdr:rowOff>171450</xdr:rowOff>
    </xdr:from>
    <xdr:to>
      <xdr:col>5</xdr:col>
      <xdr:colOff>876300</xdr:colOff>
      <xdr:row>13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2FA084-2925-403B-A269-E1B59506B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5524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114300</xdr:colOff>
      <xdr:row>15</xdr:row>
      <xdr:rowOff>161925</xdr:rowOff>
    </xdr:from>
    <xdr:to>
      <xdr:col>12</xdr:col>
      <xdr:colOff>409575</xdr:colOff>
      <xdr:row>26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CABA80-3902-4A71-916A-F577F26F5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30194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2</xdr:row>
      <xdr:rowOff>38100</xdr:rowOff>
    </xdr:from>
    <xdr:to>
      <xdr:col>20</xdr:col>
      <xdr:colOff>228600</xdr:colOff>
      <xdr:row>26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21</xdr:col>
      <xdr:colOff>276225</xdr:colOff>
      <xdr:row>0</xdr:row>
      <xdr:rowOff>95250</xdr:rowOff>
    </xdr:from>
    <xdr:to>
      <xdr:col>26</xdr:col>
      <xdr:colOff>57150</xdr:colOff>
      <xdr:row>11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57348F-C454-42BD-A00F-4CAB8777D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9100" y="952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409574</xdr:colOff>
      <xdr:row>5</xdr:row>
      <xdr:rowOff>90487</xdr:rowOff>
    </xdr:from>
    <xdr:to>
      <xdr:col>18</xdr:col>
      <xdr:colOff>466724</xdr:colOff>
      <xdr:row>30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533400</xdr:colOff>
      <xdr:row>2</xdr:row>
      <xdr:rowOff>171450</xdr:rowOff>
    </xdr:from>
    <xdr:to>
      <xdr:col>23</xdr:col>
      <xdr:colOff>314325</xdr:colOff>
      <xdr:row>13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2BCA68-53C0-40A7-B99E-00EF99976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06575" y="5524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2</xdr:row>
      <xdr:rowOff>71436</xdr:rowOff>
    </xdr:from>
    <xdr:to>
      <xdr:col>16</xdr:col>
      <xdr:colOff>600075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390525</xdr:colOff>
      <xdr:row>0</xdr:row>
      <xdr:rowOff>0</xdr:rowOff>
    </xdr:from>
    <xdr:to>
      <xdr:col>25</xdr:col>
      <xdr:colOff>171450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5C7036-77B9-48CC-9E7F-5DF1AAC2A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707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409575</xdr:colOff>
      <xdr:row>4</xdr:row>
      <xdr:rowOff>80962</xdr:rowOff>
    </xdr:from>
    <xdr:to>
      <xdr:col>14</xdr:col>
      <xdr:colOff>238125</xdr:colOff>
      <xdr:row>18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B69C25-A746-5ED5-318C-4ADEAB1AF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466725</xdr:colOff>
      <xdr:row>2</xdr:row>
      <xdr:rowOff>57150</xdr:rowOff>
    </xdr:from>
    <xdr:to>
      <xdr:col>24</xdr:col>
      <xdr:colOff>247650</xdr:colOff>
      <xdr:row>13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BE72BE-5701-4146-B3D0-C85334706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1825" y="4381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447675</xdr:colOff>
      <xdr:row>0</xdr:row>
      <xdr:rowOff>161925</xdr:rowOff>
    </xdr:from>
    <xdr:to>
      <xdr:col>23</xdr:col>
      <xdr:colOff>228600</xdr:colOff>
      <xdr:row>11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23DEF1-14F1-47EF-85A5-339F2C70D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58900" y="1619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561975</xdr:colOff>
      <xdr:row>0</xdr:row>
      <xdr:rowOff>161925</xdr:rowOff>
    </xdr:from>
    <xdr:to>
      <xdr:col>24</xdr:col>
      <xdr:colOff>342900</xdr:colOff>
      <xdr:row>11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E39837-EE45-4319-961C-4CA42B014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0" y="1619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Q66"/>
  <sheetViews>
    <sheetView showGridLines="0" tabSelected="1" workbookViewId="0">
      <selection activeCell="C33" sqref="C33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45"/>
      <c r="C3" s="145"/>
      <c r="D3" s="145"/>
      <c r="E3" s="145"/>
    </row>
    <row r="4" spans="2:5">
      <c r="B4" s="146" t="s">
        <v>111</v>
      </c>
      <c r="C4" s="146" t="s">
        <v>57</v>
      </c>
      <c r="D4" s="146" t="s">
        <v>10</v>
      </c>
      <c r="E4" s="146" t="s">
        <v>8</v>
      </c>
    </row>
    <row r="5" spans="2:5">
      <c r="B5" s="66" t="s">
        <v>128</v>
      </c>
      <c r="C5" s="147">
        <v>0.05</v>
      </c>
      <c r="D5" s="147">
        <v>0.95</v>
      </c>
      <c r="E5" s="147">
        <f>C5+D5</f>
        <v>1</v>
      </c>
    </row>
    <row r="6" spans="2:5">
      <c r="B6" s="66" t="s">
        <v>126</v>
      </c>
      <c r="C6" s="147">
        <v>0.05</v>
      </c>
      <c r="D6" s="147">
        <v>0.95</v>
      </c>
      <c r="E6" s="147">
        <f t="shared" ref="E6:E12" si="0">C6+D6</f>
        <v>1</v>
      </c>
    </row>
    <row r="7" spans="2:5">
      <c r="B7" s="66" t="s">
        <v>103</v>
      </c>
      <c r="C7" s="147">
        <v>0.05</v>
      </c>
      <c r="D7" s="147">
        <v>0.95</v>
      </c>
      <c r="E7" s="147">
        <f t="shared" si="0"/>
        <v>1</v>
      </c>
    </row>
    <row r="8" spans="2:5">
      <c r="B8" s="66" t="s">
        <v>104</v>
      </c>
      <c r="C8" s="147">
        <v>0.05</v>
      </c>
      <c r="D8" s="147">
        <v>0.95</v>
      </c>
      <c r="E8" s="147">
        <f t="shared" si="0"/>
        <v>1</v>
      </c>
    </row>
    <row r="9" spans="2:5">
      <c r="B9" s="66" t="s">
        <v>105</v>
      </c>
      <c r="C9" s="147">
        <v>0.05</v>
      </c>
      <c r="D9" s="147">
        <v>0.95</v>
      </c>
      <c r="E9" s="147">
        <f t="shared" si="0"/>
        <v>1</v>
      </c>
    </row>
    <row r="10" spans="2:5">
      <c r="B10" s="66" t="s">
        <v>106</v>
      </c>
      <c r="C10" s="147">
        <v>0.05</v>
      </c>
      <c r="D10" s="147">
        <v>0.95</v>
      </c>
      <c r="E10" s="147">
        <f t="shared" si="0"/>
        <v>1</v>
      </c>
    </row>
    <row r="11" spans="2:5">
      <c r="B11" s="66" t="s">
        <v>107</v>
      </c>
      <c r="C11" s="147">
        <v>0.05</v>
      </c>
      <c r="D11" s="147">
        <v>0.95</v>
      </c>
      <c r="E11" s="147">
        <f t="shared" si="0"/>
        <v>1</v>
      </c>
    </row>
    <row r="12" spans="2:5">
      <c r="B12" s="66" t="s">
        <v>108</v>
      </c>
      <c r="C12" s="147">
        <v>0.05</v>
      </c>
      <c r="D12" s="147">
        <v>0.95</v>
      </c>
      <c r="E12" s="147">
        <f t="shared" si="0"/>
        <v>1</v>
      </c>
    </row>
    <row r="13" spans="2:5">
      <c r="B13" s="66" t="s">
        <v>109</v>
      </c>
      <c r="C13" s="147">
        <v>0.05</v>
      </c>
      <c r="D13" s="147">
        <v>0.95</v>
      </c>
      <c r="E13" s="147">
        <f t="shared" ref="E13:E14" si="1">C13+D13</f>
        <v>1</v>
      </c>
    </row>
    <row r="14" spans="2:5">
      <c r="B14" s="66" t="s">
        <v>110</v>
      </c>
      <c r="C14" s="147">
        <v>0.05</v>
      </c>
      <c r="D14" s="147">
        <v>0.95</v>
      </c>
      <c r="E14" s="147">
        <f t="shared" si="1"/>
        <v>1</v>
      </c>
    </row>
    <row r="16" spans="2:5">
      <c r="B16" s="145"/>
      <c r="C16" s="145"/>
      <c r="D16" s="145"/>
      <c r="E16" s="145"/>
    </row>
    <row r="17" spans="2:14">
      <c r="B17" s="146" t="s">
        <v>112</v>
      </c>
      <c r="C17" s="146">
        <v>1</v>
      </c>
      <c r="D17" s="146">
        <v>2</v>
      </c>
      <c r="E17" s="146">
        <v>3</v>
      </c>
    </row>
    <row r="18" spans="2:14">
      <c r="B18" s="70" t="s">
        <v>117</v>
      </c>
      <c r="C18" s="94">
        <v>42590</v>
      </c>
      <c r="D18" s="94">
        <f>C18*1.03</f>
        <v>43867.700000000004</v>
      </c>
      <c r="E18" s="94">
        <f>D18*1.03</f>
        <v>45183.731000000007</v>
      </c>
    </row>
    <row r="19" spans="2:14">
      <c r="B19" s="70" t="s">
        <v>50</v>
      </c>
      <c r="C19" s="94">
        <f>'Profit and Loss Statement'!E6*0.0157</f>
        <v>16836.460199999998</v>
      </c>
      <c r="D19" s="94">
        <f>'Profit and Loss Statement'!F6*0.0157</f>
        <v>20203.752239999998</v>
      </c>
      <c r="E19" s="94">
        <f>'Profit and Loss Statement'!G6*0.0157</f>
        <v>23234.315075999995</v>
      </c>
    </row>
    <row r="20" spans="2:14">
      <c r="B20" s="70" t="s">
        <v>119</v>
      </c>
      <c r="C20" s="94">
        <f>'Profit and Loss Statement'!E6*0.0152</f>
        <v>16300.2672</v>
      </c>
      <c r="D20" s="94">
        <f>'Profit and Loss Statement'!F6*0.0152</f>
        <v>19560.320639999998</v>
      </c>
      <c r="E20" s="94">
        <f>'Profit and Loss Statement'!G6*0.0152</f>
        <v>22494.368736</v>
      </c>
    </row>
    <row r="21" spans="2:14">
      <c r="B21" s="70" t="s">
        <v>49</v>
      </c>
      <c r="C21" s="94">
        <f>'Personnel - Editable'!H16*0.06</f>
        <v>36150</v>
      </c>
      <c r="D21" s="94">
        <f>'Personnel - Editable'!I16*0.06</f>
        <v>37234.5</v>
      </c>
      <c r="E21" s="94">
        <f>'Personnel - Editable'!J16*0.06</f>
        <v>38351.534999999996</v>
      </c>
      <c r="F21" s="120"/>
      <c r="G21" s="120"/>
    </row>
    <row r="22" spans="2:14">
      <c r="B22" s="70" t="s">
        <v>118</v>
      </c>
      <c r="C22" s="94">
        <f>'Profit and Loss Statement'!E6*0.012</f>
        <v>12868.632</v>
      </c>
      <c r="D22" s="94">
        <f>'Profit and Loss Statement'!F6*0.012</f>
        <v>15442.358399999999</v>
      </c>
      <c r="E22" s="94">
        <f>'Profit and Loss Statement'!G6*0.012</f>
        <v>17758.712159999999</v>
      </c>
      <c r="F22" s="1"/>
      <c r="G22" s="1"/>
    </row>
    <row r="23" spans="2:14">
      <c r="B23" s="70" t="s">
        <v>1</v>
      </c>
      <c r="C23" s="94">
        <v>3500</v>
      </c>
      <c r="D23" s="94">
        <f>C23*1.35</f>
        <v>4725</v>
      </c>
      <c r="E23" s="94">
        <f>D23*1.35</f>
        <v>6378.75</v>
      </c>
      <c r="F23" s="1"/>
      <c r="G23" s="1"/>
    </row>
    <row r="24" spans="2:14">
      <c r="F24" s="1"/>
      <c r="G24" s="1"/>
    </row>
    <row r="25" spans="2:14">
      <c r="F25" s="1"/>
      <c r="G25" s="1"/>
    </row>
    <row r="30" spans="2:14">
      <c r="B30" s="148" t="s">
        <v>113</v>
      </c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</row>
    <row r="31" spans="2:14">
      <c r="B31" s="150" t="s">
        <v>5</v>
      </c>
      <c r="C31" s="151">
        <v>1</v>
      </c>
      <c r="D31" s="151">
        <f>C31+1</f>
        <v>2</v>
      </c>
      <c r="E31" s="151">
        <f t="shared" ref="E31:N31" si="2">D31+1</f>
        <v>3</v>
      </c>
      <c r="F31" s="151">
        <f t="shared" si="2"/>
        <v>4</v>
      </c>
      <c r="G31" s="151">
        <f t="shared" si="2"/>
        <v>5</v>
      </c>
      <c r="H31" s="151">
        <f t="shared" si="2"/>
        <v>6</v>
      </c>
      <c r="I31" s="151">
        <f t="shared" si="2"/>
        <v>7</v>
      </c>
      <c r="J31" s="151">
        <f t="shared" si="2"/>
        <v>8</v>
      </c>
      <c r="K31" s="151">
        <f t="shared" si="2"/>
        <v>9</v>
      </c>
      <c r="L31" s="151">
        <f t="shared" si="2"/>
        <v>10</v>
      </c>
      <c r="M31" s="151">
        <f t="shared" si="2"/>
        <v>11</v>
      </c>
      <c r="N31" s="151">
        <f t="shared" si="2"/>
        <v>12</v>
      </c>
    </row>
    <row r="32" spans="2:14">
      <c r="B32" s="66" t="str">
        <f t="shared" ref="B32:B41" si="3">B5</f>
        <v>Laboratory Services</v>
      </c>
      <c r="C32" s="94">
        <v>85000</v>
      </c>
      <c r="D32" s="94">
        <f>C32+20</f>
        <v>85020</v>
      </c>
      <c r="E32" s="94">
        <f t="shared" ref="E32:N32" si="4">D32+20</f>
        <v>85040</v>
      </c>
      <c r="F32" s="94">
        <f t="shared" si="4"/>
        <v>85060</v>
      </c>
      <c r="G32" s="94">
        <f t="shared" si="4"/>
        <v>85080</v>
      </c>
      <c r="H32" s="94">
        <f t="shared" si="4"/>
        <v>85100</v>
      </c>
      <c r="I32" s="94">
        <f t="shared" si="4"/>
        <v>85120</v>
      </c>
      <c r="J32" s="94">
        <f t="shared" si="4"/>
        <v>85140</v>
      </c>
      <c r="K32" s="94">
        <f t="shared" si="4"/>
        <v>85160</v>
      </c>
      <c r="L32" s="94">
        <f t="shared" si="4"/>
        <v>85180</v>
      </c>
      <c r="M32" s="94">
        <f t="shared" si="4"/>
        <v>85200</v>
      </c>
      <c r="N32" s="94">
        <f t="shared" si="4"/>
        <v>85220</v>
      </c>
    </row>
    <row r="33" spans="2:17">
      <c r="B33" s="66" t="str">
        <f t="shared" si="3"/>
        <v>Other Income</v>
      </c>
      <c r="C33" s="94">
        <f>C32*0.05</f>
        <v>4250</v>
      </c>
      <c r="D33" s="94">
        <f t="shared" ref="D33:N33" si="5">D32*0.05</f>
        <v>4251</v>
      </c>
      <c r="E33" s="94">
        <f t="shared" si="5"/>
        <v>4252</v>
      </c>
      <c r="F33" s="94">
        <f t="shared" si="5"/>
        <v>4253</v>
      </c>
      <c r="G33" s="94">
        <f t="shared" si="5"/>
        <v>4254</v>
      </c>
      <c r="H33" s="94">
        <f t="shared" si="5"/>
        <v>4255</v>
      </c>
      <c r="I33" s="94">
        <f t="shared" si="5"/>
        <v>4256</v>
      </c>
      <c r="J33" s="94">
        <f t="shared" si="5"/>
        <v>4257</v>
      </c>
      <c r="K33" s="94">
        <f t="shared" si="5"/>
        <v>4258</v>
      </c>
      <c r="L33" s="94">
        <f t="shared" si="5"/>
        <v>4259</v>
      </c>
      <c r="M33" s="94">
        <f t="shared" si="5"/>
        <v>4260</v>
      </c>
      <c r="N33" s="94">
        <f t="shared" si="5"/>
        <v>4261</v>
      </c>
    </row>
    <row r="34" spans="2:17">
      <c r="B34" s="66" t="str">
        <f t="shared" si="3"/>
        <v>Item 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2:17">
      <c r="B35" s="66" t="str">
        <f t="shared" si="3"/>
        <v>Item 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2:17">
      <c r="B36" s="66" t="str">
        <f t="shared" si="3"/>
        <v>Item 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2:17">
      <c r="B37" s="66" t="str">
        <f t="shared" si="3"/>
        <v>Item 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2:17">
      <c r="B38" s="66" t="str">
        <f t="shared" si="3"/>
        <v>Item 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2:17">
      <c r="B39" s="66" t="str">
        <f t="shared" si="3"/>
        <v>Item 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17">
      <c r="B40" s="66" t="str">
        <f t="shared" si="3"/>
        <v>Item 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17">
      <c r="B41" s="66" t="str">
        <f t="shared" si="3"/>
        <v>Item 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</row>
    <row r="42" spans="2:17">
      <c r="B42" s="152" t="s">
        <v>8</v>
      </c>
      <c r="C42" s="153">
        <f>SUM(C32:C41)</f>
        <v>89250</v>
      </c>
      <c r="D42" s="153">
        <f t="shared" ref="D42:N42" si="6">SUM(D32:D41)</f>
        <v>89271</v>
      </c>
      <c r="E42" s="153">
        <f t="shared" si="6"/>
        <v>89292</v>
      </c>
      <c r="F42" s="153">
        <f t="shared" si="6"/>
        <v>89313</v>
      </c>
      <c r="G42" s="153">
        <f t="shared" si="6"/>
        <v>89334</v>
      </c>
      <c r="H42" s="153">
        <f t="shared" si="6"/>
        <v>89355</v>
      </c>
      <c r="I42" s="153">
        <f t="shared" si="6"/>
        <v>89376</v>
      </c>
      <c r="J42" s="153">
        <f t="shared" si="6"/>
        <v>89397</v>
      </c>
      <c r="K42" s="153">
        <f t="shared" si="6"/>
        <v>89418</v>
      </c>
      <c r="L42" s="153">
        <f t="shared" si="6"/>
        <v>89439</v>
      </c>
      <c r="M42" s="153">
        <f t="shared" si="6"/>
        <v>89460</v>
      </c>
      <c r="N42" s="153">
        <f t="shared" si="6"/>
        <v>89481</v>
      </c>
      <c r="Q42" s="154" t="s">
        <v>135</v>
      </c>
    </row>
    <row r="44" spans="2:17">
      <c r="B44" s="145"/>
      <c r="C44" s="145"/>
    </row>
    <row r="45" spans="2:17">
      <c r="B45" s="146" t="s">
        <v>123</v>
      </c>
      <c r="C45" s="146"/>
    </row>
    <row r="46" spans="2:17">
      <c r="B46" s="66" t="s">
        <v>3</v>
      </c>
      <c r="C46" s="144">
        <v>0.2</v>
      </c>
    </row>
    <row r="47" spans="2:17">
      <c r="B47" s="66" t="s">
        <v>4</v>
      </c>
      <c r="C47" s="144">
        <v>0.15</v>
      </c>
    </row>
    <row r="49" spans="2:14">
      <c r="B49" s="112" t="s">
        <v>57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</row>
    <row r="50" spans="2:14">
      <c r="B50" s="112" t="s">
        <v>5</v>
      </c>
      <c r="C50" s="112">
        <v>1</v>
      </c>
      <c r="D50" s="112">
        <f>C50+1</f>
        <v>2</v>
      </c>
      <c r="E50" s="112">
        <f t="shared" ref="E50:N50" si="7">D50+1</f>
        <v>3</v>
      </c>
      <c r="F50" s="112">
        <f t="shared" si="7"/>
        <v>4</v>
      </c>
      <c r="G50" s="112">
        <f t="shared" si="7"/>
        <v>5</v>
      </c>
      <c r="H50" s="112">
        <f t="shared" si="7"/>
        <v>6</v>
      </c>
      <c r="I50" s="112">
        <f t="shared" si="7"/>
        <v>7</v>
      </c>
      <c r="J50" s="112">
        <f t="shared" si="7"/>
        <v>8</v>
      </c>
      <c r="K50" s="112">
        <f t="shared" si="7"/>
        <v>9</v>
      </c>
      <c r="L50" s="112">
        <f t="shared" si="7"/>
        <v>10</v>
      </c>
      <c r="M50" s="112">
        <f t="shared" si="7"/>
        <v>11</v>
      </c>
      <c r="N50" s="112">
        <f t="shared" si="7"/>
        <v>12</v>
      </c>
    </row>
    <row r="51" spans="2:14">
      <c r="B51" s="112" t="str">
        <f t="shared" ref="B51:B60" si="8">B32</f>
        <v>Laboratory Services</v>
      </c>
      <c r="C51" s="114">
        <f t="shared" ref="C51:N51" si="9">C32*($C$5/$E$5)</f>
        <v>4250</v>
      </c>
      <c r="D51" s="114">
        <f t="shared" si="9"/>
        <v>4251</v>
      </c>
      <c r="E51" s="114">
        <f t="shared" si="9"/>
        <v>4252</v>
      </c>
      <c r="F51" s="114">
        <f t="shared" si="9"/>
        <v>4253</v>
      </c>
      <c r="G51" s="114">
        <f t="shared" si="9"/>
        <v>4254</v>
      </c>
      <c r="H51" s="114">
        <f t="shared" si="9"/>
        <v>4255</v>
      </c>
      <c r="I51" s="114">
        <f t="shared" si="9"/>
        <v>4256</v>
      </c>
      <c r="J51" s="114">
        <f t="shared" si="9"/>
        <v>4257</v>
      </c>
      <c r="K51" s="114">
        <f t="shared" si="9"/>
        <v>4258</v>
      </c>
      <c r="L51" s="114">
        <f t="shared" si="9"/>
        <v>4259</v>
      </c>
      <c r="M51" s="114">
        <f t="shared" si="9"/>
        <v>4260</v>
      </c>
      <c r="N51" s="114">
        <f t="shared" si="9"/>
        <v>4261</v>
      </c>
    </row>
    <row r="52" spans="2:14">
      <c r="B52" s="112" t="str">
        <f t="shared" si="8"/>
        <v>Other Income</v>
      </c>
      <c r="C52" s="114">
        <f t="shared" ref="C52:N52" si="10">C33*($C$6/$E$6)</f>
        <v>212.5</v>
      </c>
      <c r="D52" s="114">
        <f t="shared" si="10"/>
        <v>212.55</v>
      </c>
      <c r="E52" s="114">
        <f t="shared" si="10"/>
        <v>212.60000000000002</v>
      </c>
      <c r="F52" s="114">
        <f t="shared" si="10"/>
        <v>212.65</v>
      </c>
      <c r="G52" s="114">
        <f t="shared" si="10"/>
        <v>212.70000000000002</v>
      </c>
      <c r="H52" s="114">
        <f t="shared" si="10"/>
        <v>212.75</v>
      </c>
      <c r="I52" s="114">
        <f t="shared" si="10"/>
        <v>212.8</v>
      </c>
      <c r="J52" s="114">
        <f t="shared" si="10"/>
        <v>212.85000000000002</v>
      </c>
      <c r="K52" s="114">
        <f t="shared" si="10"/>
        <v>212.9</v>
      </c>
      <c r="L52" s="114">
        <f t="shared" si="10"/>
        <v>212.95000000000002</v>
      </c>
      <c r="M52" s="114">
        <f t="shared" si="10"/>
        <v>213</v>
      </c>
      <c r="N52" s="114">
        <f t="shared" si="10"/>
        <v>213.05</v>
      </c>
    </row>
    <row r="53" spans="2:14">
      <c r="B53" s="112" t="str">
        <f t="shared" si="8"/>
        <v>Item 3</v>
      </c>
      <c r="C53" s="114">
        <f t="shared" ref="C53:N53" si="11">C34*($C$7/$E$7)</f>
        <v>0</v>
      </c>
      <c r="D53" s="114">
        <f t="shared" si="11"/>
        <v>0</v>
      </c>
      <c r="E53" s="114">
        <f t="shared" si="11"/>
        <v>0</v>
      </c>
      <c r="F53" s="114">
        <f t="shared" si="11"/>
        <v>0</v>
      </c>
      <c r="G53" s="114">
        <f t="shared" si="11"/>
        <v>0</v>
      </c>
      <c r="H53" s="114">
        <f t="shared" si="11"/>
        <v>0</v>
      </c>
      <c r="I53" s="114">
        <f t="shared" si="11"/>
        <v>0</v>
      </c>
      <c r="J53" s="114">
        <f t="shared" si="11"/>
        <v>0</v>
      </c>
      <c r="K53" s="114">
        <f t="shared" si="11"/>
        <v>0</v>
      </c>
      <c r="L53" s="114">
        <f t="shared" si="11"/>
        <v>0</v>
      </c>
      <c r="M53" s="114">
        <f t="shared" si="11"/>
        <v>0</v>
      </c>
      <c r="N53" s="114">
        <f t="shared" si="11"/>
        <v>0</v>
      </c>
    </row>
    <row r="54" spans="2:14">
      <c r="B54" s="112" t="str">
        <f t="shared" si="8"/>
        <v>Item 4</v>
      </c>
      <c r="C54" s="114">
        <f t="shared" ref="C54:N54" si="12">C35*($C$8/$E$8)</f>
        <v>0</v>
      </c>
      <c r="D54" s="114">
        <f t="shared" si="12"/>
        <v>0</v>
      </c>
      <c r="E54" s="114">
        <f t="shared" si="12"/>
        <v>0</v>
      </c>
      <c r="F54" s="114">
        <f t="shared" si="12"/>
        <v>0</v>
      </c>
      <c r="G54" s="114">
        <f t="shared" si="12"/>
        <v>0</v>
      </c>
      <c r="H54" s="114">
        <f t="shared" si="12"/>
        <v>0</v>
      </c>
      <c r="I54" s="114">
        <f t="shared" si="12"/>
        <v>0</v>
      </c>
      <c r="J54" s="114">
        <f t="shared" si="12"/>
        <v>0</v>
      </c>
      <c r="K54" s="114">
        <f t="shared" si="12"/>
        <v>0</v>
      </c>
      <c r="L54" s="114">
        <f t="shared" si="12"/>
        <v>0</v>
      </c>
      <c r="M54" s="114">
        <f t="shared" si="12"/>
        <v>0</v>
      </c>
      <c r="N54" s="114">
        <f t="shared" si="12"/>
        <v>0</v>
      </c>
    </row>
    <row r="55" spans="2:14">
      <c r="B55" s="112" t="str">
        <f t="shared" si="8"/>
        <v>Item 5</v>
      </c>
      <c r="C55" s="114">
        <f t="shared" ref="C55:N55" si="13">C36*($C$9/$E$9)</f>
        <v>0</v>
      </c>
      <c r="D55" s="114">
        <f t="shared" si="13"/>
        <v>0</v>
      </c>
      <c r="E55" s="114">
        <f t="shared" si="13"/>
        <v>0</v>
      </c>
      <c r="F55" s="114">
        <f t="shared" si="13"/>
        <v>0</v>
      </c>
      <c r="G55" s="114">
        <f t="shared" si="13"/>
        <v>0</v>
      </c>
      <c r="H55" s="114">
        <f t="shared" si="13"/>
        <v>0</v>
      </c>
      <c r="I55" s="114">
        <f t="shared" si="13"/>
        <v>0</v>
      </c>
      <c r="J55" s="114">
        <f t="shared" si="13"/>
        <v>0</v>
      </c>
      <c r="K55" s="114">
        <f t="shared" si="13"/>
        <v>0</v>
      </c>
      <c r="L55" s="114">
        <f t="shared" si="13"/>
        <v>0</v>
      </c>
      <c r="M55" s="114">
        <f t="shared" si="13"/>
        <v>0</v>
      </c>
      <c r="N55" s="114">
        <f t="shared" si="13"/>
        <v>0</v>
      </c>
    </row>
    <row r="56" spans="2:14">
      <c r="B56" s="112" t="str">
        <f t="shared" si="8"/>
        <v>Item 6</v>
      </c>
      <c r="C56" s="114">
        <f t="shared" ref="C56:N56" si="14">C37*($C$10/$E$10)</f>
        <v>0</v>
      </c>
      <c r="D56" s="114">
        <f t="shared" si="14"/>
        <v>0</v>
      </c>
      <c r="E56" s="114">
        <f t="shared" si="14"/>
        <v>0</v>
      </c>
      <c r="F56" s="114">
        <f t="shared" si="14"/>
        <v>0</v>
      </c>
      <c r="G56" s="114">
        <f t="shared" si="14"/>
        <v>0</v>
      </c>
      <c r="H56" s="114">
        <f t="shared" si="14"/>
        <v>0</v>
      </c>
      <c r="I56" s="114">
        <f t="shared" si="14"/>
        <v>0</v>
      </c>
      <c r="J56" s="114">
        <f t="shared" si="14"/>
        <v>0</v>
      </c>
      <c r="K56" s="114">
        <f t="shared" si="14"/>
        <v>0</v>
      </c>
      <c r="L56" s="114">
        <f t="shared" si="14"/>
        <v>0</v>
      </c>
      <c r="M56" s="114">
        <f t="shared" si="14"/>
        <v>0</v>
      </c>
      <c r="N56" s="114">
        <f t="shared" si="14"/>
        <v>0</v>
      </c>
    </row>
    <row r="57" spans="2:14">
      <c r="B57" s="112" t="str">
        <f t="shared" si="8"/>
        <v>Item 7</v>
      </c>
      <c r="C57" s="114">
        <f t="shared" ref="C57:N57" si="15">C38*($C$11/$E$11)</f>
        <v>0</v>
      </c>
      <c r="D57" s="114">
        <f t="shared" si="15"/>
        <v>0</v>
      </c>
      <c r="E57" s="114">
        <f t="shared" si="15"/>
        <v>0</v>
      </c>
      <c r="F57" s="114">
        <f t="shared" si="15"/>
        <v>0</v>
      </c>
      <c r="G57" s="114">
        <f t="shared" si="15"/>
        <v>0</v>
      </c>
      <c r="H57" s="114">
        <f t="shared" si="15"/>
        <v>0</v>
      </c>
      <c r="I57" s="114">
        <f t="shared" si="15"/>
        <v>0</v>
      </c>
      <c r="J57" s="114">
        <f t="shared" si="15"/>
        <v>0</v>
      </c>
      <c r="K57" s="114">
        <f t="shared" si="15"/>
        <v>0</v>
      </c>
      <c r="L57" s="114">
        <f t="shared" si="15"/>
        <v>0</v>
      </c>
      <c r="M57" s="114">
        <f t="shared" si="15"/>
        <v>0</v>
      </c>
      <c r="N57" s="114">
        <f t="shared" si="15"/>
        <v>0</v>
      </c>
    </row>
    <row r="58" spans="2:14">
      <c r="B58" s="112" t="str">
        <f t="shared" si="8"/>
        <v>Item 8</v>
      </c>
      <c r="C58" s="114">
        <f t="shared" ref="C58:N58" si="16">C39*($C$12/$E$12)</f>
        <v>0</v>
      </c>
      <c r="D58" s="114">
        <f t="shared" si="16"/>
        <v>0</v>
      </c>
      <c r="E58" s="114">
        <f t="shared" si="16"/>
        <v>0</v>
      </c>
      <c r="F58" s="114">
        <f t="shared" si="16"/>
        <v>0</v>
      </c>
      <c r="G58" s="114">
        <f t="shared" si="16"/>
        <v>0</v>
      </c>
      <c r="H58" s="114">
        <f t="shared" si="16"/>
        <v>0</v>
      </c>
      <c r="I58" s="114">
        <f t="shared" si="16"/>
        <v>0</v>
      </c>
      <c r="J58" s="114">
        <f t="shared" si="16"/>
        <v>0</v>
      </c>
      <c r="K58" s="114">
        <f t="shared" si="16"/>
        <v>0</v>
      </c>
      <c r="L58" s="114">
        <f t="shared" si="16"/>
        <v>0</v>
      </c>
      <c r="M58" s="114">
        <f t="shared" si="16"/>
        <v>0</v>
      </c>
      <c r="N58" s="114">
        <f t="shared" si="16"/>
        <v>0</v>
      </c>
    </row>
    <row r="59" spans="2:14">
      <c r="B59" s="112" t="str">
        <f t="shared" si="8"/>
        <v>Item 9</v>
      </c>
      <c r="C59" s="114">
        <f t="shared" ref="C59:N59" si="17">C40*($C$13/$E$13)</f>
        <v>0</v>
      </c>
      <c r="D59" s="114">
        <f t="shared" si="17"/>
        <v>0</v>
      </c>
      <c r="E59" s="114">
        <f t="shared" si="17"/>
        <v>0</v>
      </c>
      <c r="F59" s="114">
        <f t="shared" si="17"/>
        <v>0</v>
      </c>
      <c r="G59" s="114">
        <f t="shared" si="17"/>
        <v>0</v>
      </c>
      <c r="H59" s="114">
        <f t="shared" si="17"/>
        <v>0</v>
      </c>
      <c r="I59" s="114">
        <f t="shared" si="17"/>
        <v>0</v>
      </c>
      <c r="J59" s="114">
        <f t="shared" si="17"/>
        <v>0</v>
      </c>
      <c r="K59" s="114">
        <f t="shared" si="17"/>
        <v>0</v>
      </c>
      <c r="L59" s="114">
        <f t="shared" si="17"/>
        <v>0</v>
      </c>
      <c r="M59" s="114">
        <f t="shared" si="17"/>
        <v>0</v>
      </c>
      <c r="N59" s="114">
        <f t="shared" si="17"/>
        <v>0</v>
      </c>
    </row>
    <row r="60" spans="2:14">
      <c r="B60" s="112" t="str">
        <f t="shared" si="8"/>
        <v>Item 10</v>
      </c>
      <c r="C60" s="114">
        <f t="shared" ref="C60:N60" si="18">C41*($C$14/$E$14)</f>
        <v>0</v>
      </c>
      <c r="D60" s="114">
        <f t="shared" si="18"/>
        <v>0</v>
      </c>
      <c r="E60" s="114">
        <f t="shared" si="18"/>
        <v>0</v>
      </c>
      <c r="F60" s="114">
        <f t="shared" si="18"/>
        <v>0</v>
      </c>
      <c r="G60" s="114">
        <f t="shared" si="18"/>
        <v>0</v>
      </c>
      <c r="H60" s="114">
        <f t="shared" si="18"/>
        <v>0</v>
      </c>
      <c r="I60" s="114">
        <f t="shared" si="18"/>
        <v>0</v>
      </c>
      <c r="J60" s="114">
        <f t="shared" si="18"/>
        <v>0</v>
      </c>
      <c r="K60" s="114">
        <f t="shared" si="18"/>
        <v>0</v>
      </c>
      <c r="L60" s="114">
        <f t="shared" si="18"/>
        <v>0</v>
      </c>
      <c r="M60" s="114">
        <f t="shared" si="18"/>
        <v>0</v>
      </c>
      <c r="N60" s="114">
        <f t="shared" si="18"/>
        <v>0</v>
      </c>
    </row>
    <row r="61" spans="2:14">
      <c r="B61" s="112" t="s">
        <v>8</v>
      </c>
      <c r="C61" s="114">
        <f>SUM(C51:C60)</f>
        <v>4462.5</v>
      </c>
      <c r="D61" s="114">
        <f t="shared" ref="D61:N61" si="19">SUM(D51:D60)</f>
        <v>4463.55</v>
      </c>
      <c r="E61" s="114">
        <f t="shared" si="19"/>
        <v>4464.6000000000004</v>
      </c>
      <c r="F61" s="114">
        <f t="shared" si="19"/>
        <v>4465.6499999999996</v>
      </c>
      <c r="G61" s="114">
        <f t="shared" si="19"/>
        <v>4466.7</v>
      </c>
      <c r="H61" s="114">
        <f t="shared" si="19"/>
        <v>4467.75</v>
      </c>
      <c r="I61" s="114">
        <f t="shared" si="19"/>
        <v>4468.8</v>
      </c>
      <c r="J61" s="114">
        <f t="shared" si="19"/>
        <v>4469.8500000000004</v>
      </c>
      <c r="K61" s="114">
        <f t="shared" si="19"/>
        <v>4470.8999999999996</v>
      </c>
      <c r="L61" s="114">
        <f t="shared" si="19"/>
        <v>4471.95</v>
      </c>
      <c r="M61" s="114">
        <f t="shared" si="19"/>
        <v>4473</v>
      </c>
      <c r="N61" s="114">
        <f t="shared" si="19"/>
        <v>4474.05</v>
      </c>
    </row>
    <row r="62" spans="2:14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</row>
    <row r="63" spans="2:14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</row>
    <row r="64" spans="2:14">
      <c r="B64" s="112" t="s">
        <v>10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</row>
    <row r="65" spans="2:14">
      <c r="B65" s="112" t="s">
        <v>5</v>
      </c>
      <c r="C65" s="112">
        <v>1</v>
      </c>
      <c r="D65" s="112">
        <f>C65+1</f>
        <v>2</v>
      </c>
      <c r="E65" s="112">
        <f t="shared" ref="E65:N65" si="20">D65+1</f>
        <v>3</v>
      </c>
      <c r="F65" s="112">
        <f t="shared" si="20"/>
        <v>4</v>
      </c>
      <c r="G65" s="112">
        <f t="shared" si="20"/>
        <v>5</v>
      </c>
      <c r="H65" s="112">
        <f t="shared" si="20"/>
        <v>6</v>
      </c>
      <c r="I65" s="112">
        <f t="shared" si="20"/>
        <v>7</v>
      </c>
      <c r="J65" s="112">
        <f t="shared" si="20"/>
        <v>8</v>
      </c>
      <c r="K65" s="112">
        <f t="shared" si="20"/>
        <v>9</v>
      </c>
      <c r="L65" s="112">
        <f t="shared" si="20"/>
        <v>10</v>
      </c>
      <c r="M65" s="112">
        <f t="shared" si="20"/>
        <v>11</v>
      </c>
      <c r="N65" s="112">
        <f t="shared" si="20"/>
        <v>12</v>
      </c>
    </row>
    <row r="66" spans="2:14">
      <c r="B66" s="112" t="s">
        <v>8</v>
      </c>
      <c r="C66" s="114">
        <f t="shared" ref="C66:N66" si="21">C42-C61</f>
        <v>84787.5</v>
      </c>
      <c r="D66" s="114">
        <f t="shared" si="21"/>
        <v>84807.45</v>
      </c>
      <c r="E66" s="114">
        <f t="shared" si="21"/>
        <v>84827.4</v>
      </c>
      <c r="F66" s="114">
        <f t="shared" si="21"/>
        <v>84847.35</v>
      </c>
      <c r="G66" s="114">
        <f t="shared" si="21"/>
        <v>84867.3</v>
      </c>
      <c r="H66" s="114">
        <f t="shared" si="21"/>
        <v>84887.25</v>
      </c>
      <c r="I66" s="114">
        <f t="shared" si="21"/>
        <v>84907.199999999997</v>
      </c>
      <c r="J66" s="114">
        <f t="shared" si="21"/>
        <v>84927.15</v>
      </c>
      <c r="K66" s="114">
        <f t="shared" si="21"/>
        <v>84947.1</v>
      </c>
      <c r="L66" s="114">
        <f t="shared" si="21"/>
        <v>84967.05</v>
      </c>
      <c r="M66" s="114">
        <f t="shared" si="21"/>
        <v>84987</v>
      </c>
      <c r="N66" s="114">
        <f t="shared" si="21"/>
        <v>85006.95</v>
      </c>
    </row>
  </sheetData>
  <sheetProtection algorithmName="SHA-512" hashValue="7r+tj6iiTIpGHMf0fGDKEoeIw4TdGuTAl70xqGjhGPxPMWIGJVoPjplpltspAsmtV7P5t83+orD0AqDeSs7+Iw==" saltValue="jHEuxQYCBsTEumw4+BZdKw==" spinCount="100000" sheet="1" objects="1" scenarios="1" selectLockedCells="1"/>
  <hyperlinks>
    <hyperlink ref="Q42" r:id="rId1" xr:uid="{E529DFB4-AC6A-479E-9B30-88EE5B435535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E471"/>
  <sheetViews>
    <sheetView showGridLines="0" workbookViewId="0">
      <selection activeCell="R7" sqref="R7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5">
      <c r="A4" s="53" t="s">
        <v>34</v>
      </c>
      <c r="B4" s="54"/>
      <c r="C4" s="55"/>
      <c r="D4" s="56" t="s">
        <v>35</v>
      </c>
      <c r="E4" s="55"/>
    </row>
    <row r="5" spans="1:5">
      <c r="A5" s="57" t="s">
        <v>37</v>
      </c>
      <c r="B5" s="58">
        <f>'Use of Funds'!E22</f>
        <v>250000</v>
      </c>
      <c r="C5" s="55"/>
      <c r="D5" s="56" t="s">
        <v>36</v>
      </c>
      <c r="E5" s="59">
        <f>PMT(B6/B8,(B7*B8),-B5)</f>
        <v>3166.894343756237</v>
      </c>
    </row>
    <row r="6" spans="1:5">
      <c r="A6" s="60" t="s">
        <v>39</v>
      </c>
      <c r="B6" s="54">
        <v>0.09</v>
      </c>
      <c r="C6" s="55"/>
      <c r="D6" s="56" t="s">
        <v>38</v>
      </c>
      <c r="E6" s="59">
        <f>SUM(D14:D600)</f>
        <v>130027.32125074847</v>
      </c>
    </row>
    <row r="7" spans="1:5">
      <c r="A7" s="60" t="s">
        <v>40</v>
      </c>
      <c r="B7" s="60">
        <v>10</v>
      </c>
      <c r="C7" s="55"/>
      <c r="D7" s="55"/>
      <c r="E7" s="55"/>
    </row>
    <row r="8" spans="1:5">
      <c r="A8" s="53" t="s">
        <v>41</v>
      </c>
      <c r="B8" s="53">
        <v>12</v>
      </c>
      <c r="C8" s="55"/>
      <c r="D8" s="55"/>
      <c r="E8" s="55"/>
    </row>
    <row r="9" spans="1:5">
      <c r="A9" s="55"/>
      <c r="B9" s="55"/>
      <c r="C9" s="55"/>
      <c r="D9" s="55"/>
      <c r="E9" s="55"/>
    </row>
    <row r="13" spans="1:5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5">
      <c r="A14">
        <v>1</v>
      </c>
      <c r="B14" s="1">
        <f>$E$5</f>
        <v>3166.894343756237</v>
      </c>
      <c r="C14" s="1">
        <f>B14-D14</f>
        <v>1291.894343756237</v>
      </c>
      <c r="D14" s="1">
        <f>(B5*($B$6/$B$8))</f>
        <v>1875</v>
      </c>
      <c r="E14" s="1">
        <f>B5-C14</f>
        <v>248708.10565624377</v>
      </c>
    </row>
    <row r="15" spans="1:5">
      <c r="A15">
        <f>IF(($B$7*$B$8&gt;A14),IF(($B$7*$B$8)=A14,"",A14+1),"")</f>
        <v>2</v>
      </c>
      <c r="B15" s="1">
        <f>IF(A15="","",$B$14)</f>
        <v>3166.894343756237</v>
      </c>
      <c r="C15" s="1">
        <f>IF(A15="","",B15-D15)</f>
        <v>1301.5835513344089</v>
      </c>
      <c r="D15" s="1">
        <f>IF(A15="","",(E14*($B$6/$B$8)))</f>
        <v>1865.3107924218282</v>
      </c>
      <c r="E15" s="1">
        <f>IF(A15="","",E14-C15)</f>
        <v>247406.52210490935</v>
      </c>
    </row>
    <row r="16" spans="1:5">
      <c r="A16">
        <f t="shared" ref="A16:A79" si="0">IF(($B$7*$B$8&gt;A15),IF(($B$7*$B$8)=A15,"",A15+1),"")</f>
        <v>3</v>
      </c>
      <c r="B16" s="1">
        <f t="shared" ref="B16:B79" si="1">IF(A16="","",$B$14)</f>
        <v>3166.894343756237</v>
      </c>
      <c r="C16" s="1">
        <f t="shared" ref="C16:C79" si="2">IF(A16="","",B16-D16)</f>
        <v>1311.345427969417</v>
      </c>
      <c r="D16" s="1">
        <f t="shared" ref="D16:D79" si="3">IF(A16="","",(E15*($B$6/$B$8)))</f>
        <v>1855.5489157868201</v>
      </c>
      <c r="E16" s="1">
        <f t="shared" ref="E16:E79" si="4">IF(A16="","",E15-C16)</f>
        <v>246095.17667693994</v>
      </c>
    </row>
    <row r="17" spans="1:5">
      <c r="A17">
        <f t="shared" si="0"/>
        <v>4</v>
      </c>
      <c r="B17" s="1">
        <f t="shared" si="1"/>
        <v>3166.894343756237</v>
      </c>
      <c r="C17" s="1">
        <f t="shared" si="2"/>
        <v>1321.1805186791876</v>
      </c>
      <c r="D17" s="1">
        <f t="shared" si="3"/>
        <v>1845.7138250770495</v>
      </c>
      <c r="E17" s="1">
        <f t="shared" si="4"/>
        <v>244773.99615826076</v>
      </c>
    </row>
    <row r="18" spans="1:5">
      <c r="A18">
        <f t="shared" si="0"/>
        <v>5</v>
      </c>
      <c r="B18" s="1">
        <f t="shared" si="1"/>
        <v>3166.894343756237</v>
      </c>
      <c r="C18" s="1">
        <f t="shared" si="2"/>
        <v>1331.0893725692813</v>
      </c>
      <c r="D18" s="1">
        <f t="shared" si="3"/>
        <v>1835.8049711869558</v>
      </c>
      <c r="E18" s="1">
        <f t="shared" si="4"/>
        <v>243442.90678569148</v>
      </c>
    </row>
    <row r="19" spans="1:5">
      <c r="A19">
        <f t="shared" si="0"/>
        <v>6</v>
      </c>
      <c r="B19" s="1">
        <f t="shared" si="1"/>
        <v>3166.894343756237</v>
      </c>
      <c r="C19" s="1">
        <f t="shared" si="2"/>
        <v>1341.072542863551</v>
      </c>
      <c r="D19" s="1">
        <f t="shared" si="3"/>
        <v>1825.821800892686</v>
      </c>
      <c r="E19" s="1">
        <f t="shared" si="4"/>
        <v>242101.83424282793</v>
      </c>
    </row>
    <row r="20" spans="1:5">
      <c r="A20">
        <f t="shared" si="0"/>
        <v>7</v>
      </c>
      <c r="B20" s="1">
        <f t="shared" si="1"/>
        <v>3166.894343756237</v>
      </c>
      <c r="C20" s="1">
        <f t="shared" si="2"/>
        <v>1351.1305869350276</v>
      </c>
      <c r="D20" s="1">
        <f t="shared" si="3"/>
        <v>1815.7637568212094</v>
      </c>
      <c r="E20" s="1">
        <f t="shared" si="4"/>
        <v>240750.7036558929</v>
      </c>
    </row>
    <row r="21" spans="1:5">
      <c r="A21">
        <f t="shared" si="0"/>
        <v>8</v>
      </c>
      <c r="B21" s="1">
        <f t="shared" si="1"/>
        <v>3166.894343756237</v>
      </c>
      <c r="C21" s="1">
        <f t="shared" si="2"/>
        <v>1361.2640663370405</v>
      </c>
      <c r="D21" s="1">
        <f t="shared" si="3"/>
        <v>1805.6302774191965</v>
      </c>
      <c r="E21" s="1">
        <f t="shared" si="4"/>
        <v>239389.43958955584</v>
      </c>
    </row>
    <row r="22" spans="1:5">
      <c r="A22">
        <f t="shared" si="0"/>
        <v>9</v>
      </c>
      <c r="B22" s="1">
        <f t="shared" si="1"/>
        <v>3166.894343756237</v>
      </c>
      <c r="C22" s="1">
        <f t="shared" si="2"/>
        <v>1371.4735468345682</v>
      </c>
      <c r="D22" s="1">
        <f t="shared" si="3"/>
        <v>1795.4207969216689</v>
      </c>
      <c r="E22" s="1">
        <f t="shared" si="4"/>
        <v>238017.96604272127</v>
      </c>
    </row>
    <row r="23" spans="1:5">
      <c r="A23">
        <f t="shared" si="0"/>
        <v>10</v>
      </c>
      <c r="B23" s="1">
        <f t="shared" si="1"/>
        <v>3166.894343756237</v>
      </c>
      <c r="C23" s="1">
        <f t="shared" si="2"/>
        <v>1381.7595984358277</v>
      </c>
      <c r="D23" s="1">
        <f t="shared" si="3"/>
        <v>1785.1347453204094</v>
      </c>
      <c r="E23" s="1">
        <f t="shared" si="4"/>
        <v>236636.20644428543</v>
      </c>
    </row>
    <row r="24" spans="1:5">
      <c r="A24">
        <f t="shared" si="0"/>
        <v>11</v>
      </c>
      <c r="B24" s="1">
        <f t="shared" si="1"/>
        <v>3166.894343756237</v>
      </c>
      <c r="C24" s="1">
        <f t="shared" si="2"/>
        <v>1392.1227954240965</v>
      </c>
      <c r="D24" s="1">
        <f t="shared" si="3"/>
        <v>1774.7715483321406</v>
      </c>
      <c r="E24" s="1">
        <f t="shared" si="4"/>
        <v>235244.08364886133</v>
      </c>
    </row>
    <row r="25" spans="1:5">
      <c r="A25">
        <f t="shared" si="0"/>
        <v>12</v>
      </c>
      <c r="B25" s="1">
        <f t="shared" si="1"/>
        <v>3166.894343756237</v>
      </c>
      <c r="C25" s="1">
        <f t="shared" si="2"/>
        <v>1402.5637163897773</v>
      </c>
      <c r="D25" s="1">
        <f t="shared" si="3"/>
        <v>1764.3306273664598</v>
      </c>
      <c r="E25" s="1">
        <f t="shared" si="4"/>
        <v>233841.51993247156</v>
      </c>
    </row>
    <row r="26" spans="1:5">
      <c r="A26">
        <f t="shared" si="0"/>
        <v>13</v>
      </c>
      <c r="B26" s="1">
        <f t="shared" si="1"/>
        <v>3166.894343756237</v>
      </c>
      <c r="C26" s="1">
        <f t="shared" si="2"/>
        <v>1413.0829442627003</v>
      </c>
      <c r="D26" s="1">
        <f t="shared" si="3"/>
        <v>1753.8113994935368</v>
      </c>
      <c r="E26" s="1">
        <f t="shared" si="4"/>
        <v>232428.43698820885</v>
      </c>
    </row>
    <row r="27" spans="1:5">
      <c r="A27">
        <f t="shared" si="0"/>
        <v>14</v>
      </c>
      <c r="B27" s="1">
        <f t="shared" si="1"/>
        <v>3166.894343756237</v>
      </c>
      <c r="C27" s="1">
        <f t="shared" si="2"/>
        <v>1423.6810663446706</v>
      </c>
      <c r="D27" s="1">
        <f t="shared" si="3"/>
        <v>1743.2132774115664</v>
      </c>
      <c r="E27" s="1">
        <f t="shared" si="4"/>
        <v>231004.75592186418</v>
      </c>
    </row>
    <row r="28" spans="1:5">
      <c r="A28">
        <f t="shared" si="0"/>
        <v>15</v>
      </c>
      <c r="B28" s="1">
        <f t="shared" si="1"/>
        <v>3166.894343756237</v>
      </c>
      <c r="C28" s="1">
        <f t="shared" si="2"/>
        <v>1434.3586743422557</v>
      </c>
      <c r="D28" s="1">
        <f t="shared" si="3"/>
        <v>1732.5356694139814</v>
      </c>
      <c r="E28" s="1">
        <f t="shared" si="4"/>
        <v>229570.39724752193</v>
      </c>
    </row>
    <row r="29" spans="1:5">
      <c r="A29">
        <f t="shared" si="0"/>
        <v>16</v>
      </c>
      <c r="B29" s="1">
        <f t="shared" si="1"/>
        <v>3166.894343756237</v>
      </c>
      <c r="C29" s="1">
        <f t="shared" si="2"/>
        <v>1445.1163643998227</v>
      </c>
      <c r="D29" s="1">
        <f t="shared" si="3"/>
        <v>1721.7779793564143</v>
      </c>
      <c r="E29" s="1">
        <f t="shared" si="4"/>
        <v>228125.28088312212</v>
      </c>
    </row>
    <row r="30" spans="1:5">
      <c r="A30">
        <f t="shared" si="0"/>
        <v>17</v>
      </c>
      <c r="B30" s="1">
        <f t="shared" si="1"/>
        <v>3166.894343756237</v>
      </c>
      <c r="C30" s="1">
        <f t="shared" si="2"/>
        <v>1455.9547371328213</v>
      </c>
      <c r="D30" s="1">
        <f t="shared" si="3"/>
        <v>1710.9396066234158</v>
      </c>
      <c r="E30" s="1">
        <f t="shared" si="4"/>
        <v>226669.3261459893</v>
      </c>
    </row>
    <row r="31" spans="1:5">
      <c r="A31">
        <f t="shared" si="0"/>
        <v>18</v>
      </c>
      <c r="B31" s="1">
        <f t="shared" si="1"/>
        <v>3166.894343756237</v>
      </c>
      <c r="C31" s="1">
        <f t="shared" si="2"/>
        <v>1466.8743976613173</v>
      </c>
      <c r="D31" s="1">
        <f t="shared" si="3"/>
        <v>1700.0199460949198</v>
      </c>
      <c r="E31" s="1">
        <f t="shared" si="4"/>
        <v>225202.45174832799</v>
      </c>
    </row>
    <row r="32" spans="1:5">
      <c r="A32">
        <f t="shared" si="0"/>
        <v>19</v>
      </c>
      <c r="B32" s="1">
        <f t="shared" si="1"/>
        <v>3166.894343756237</v>
      </c>
      <c r="C32" s="1">
        <f t="shared" si="2"/>
        <v>1477.8759556437772</v>
      </c>
      <c r="D32" s="1">
        <f t="shared" si="3"/>
        <v>1689.0183881124599</v>
      </c>
      <c r="E32" s="1">
        <f t="shared" si="4"/>
        <v>223724.57579268422</v>
      </c>
    </row>
    <row r="33" spans="1:5">
      <c r="A33">
        <f t="shared" si="0"/>
        <v>20</v>
      </c>
      <c r="B33" s="1">
        <f t="shared" si="1"/>
        <v>3166.894343756237</v>
      </c>
      <c r="C33" s="1">
        <f t="shared" si="2"/>
        <v>1488.9600253111055</v>
      </c>
      <c r="D33" s="1">
        <f t="shared" si="3"/>
        <v>1677.9343184451316</v>
      </c>
      <c r="E33" s="1">
        <f t="shared" si="4"/>
        <v>222235.61576737312</v>
      </c>
    </row>
    <row r="34" spans="1:5">
      <c r="A34">
        <f t="shared" si="0"/>
        <v>21</v>
      </c>
      <c r="B34" s="1">
        <f t="shared" si="1"/>
        <v>3166.894343756237</v>
      </c>
      <c r="C34" s="1">
        <f t="shared" si="2"/>
        <v>1500.1272255009387</v>
      </c>
      <c r="D34" s="1">
        <f t="shared" si="3"/>
        <v>1666.7671182552983</v>
      </c>
      <c r="E34" s="1">
        <f t="shared" si="4"/>
        <v>220735.48854187218</v>
      </c>
    </row>
    <row r="35" spans="1:5">
      <c r="A35">
        <f t="shared" si="0"/>
        <v>22</v>
      </c>
      <c r="B35" s="1">
        <f t="shared" si="1"/>
        <v>3166.894343756237</v>
      </c>
      <c r="C35" s="1">
        <f t="shared" si="2"/>
        <v>1511.3781796921958</v>
      </c>
      <c r="D35" s="1">
        <f t="shared" si="3"/>
        <v>1655.5161640640413</v>
      </c>
      <c r="E35" s="1">
        <f t="shared" si="4"/>
        <v>219224.11036217998</v>
      </c>
    </row>
    <row r="36" spans="1:5">
      <c r="A36">
        <f t="shared" si="0"/>
        <v>23</v>
      </c>
      <c r="B36" s="1">
        <f t="shared" si="1"/>
        <v>3166.894343756237</v>
      </c>
      <c r="C36" s="1">
        <f t="shared" si="2"/>
        <v>1522.7135160398873</v>
      </c>
      <c r="D36" s="1">
        <f t="shared" si="3"/>
        <v>1644.1808277163498</v>
      </c>
      <c r="E36" s="1">
        <f t="shared" si="4"/>
        <v>217701.39684614009</v>
      </c>
    </row>
    <row r="37" spans="1:5">
      <c r="A37">
        <f t="shared" si="0"/>
        <v>24</v>
      </c>
      <c r="B37" s="1">
        <f t="shared" si="1"/>
        <v>3166.894343756237</v>
      </c>
      <c r="C37" s="1">
        <f t="shared" si="2"/>
        <v>1534.1338674101864</v>
      </c>
      <c r="D37" s="1">
        <f t="shared" si="3"/>
        <v>1632.7604763460506</v>
      </c>
      <c r="E37" s="1">
        <f t="shared" si="4"/>
        <v>216167.26297872991</v>
      </c>
    </row>
    <row r="38" spans="1:5">
      <c r="A38">
        <f t="shared" si="0"/>
        <v>25</v>
      </c>
      <c r="B38" s="1">
        <f t="shared" si="1"/>
        <v>3166.894343756237</v>
      </c>
      <c r="C38" s="1">
        <f t="shared" si="2"/>
        <v>1545.6398714157629</v>
      </c>
      <c r="D38" s="1">
        <f t="shared" si="3"/>
        <v>1621.2544723404742</v>
      </c>
      <c r="E38" s="1">
        <f t="shared" si="4"/>
        <v>214621.62310731414</v>
      </c>
    </row>
    <row r="39" spans="1:5">
      <c r="A39">
        <f t="shared" si="0"/>
        <v>26</v>
      </c>
      <c r="B39" s="1">
        <f t="shared" si="1"/>
        <v>3166.894343756237</v>
      </c>
      <c r="C39" s="1">
        <f t="shared" si="2"/>
        <v>1557.2321704513811</v>
      </c>
      <c r="D39" s="1">
        <f t="shared" si="3"/>
        <v>1609.662173304856</v>
      </c>
      <c r="E39" s="1">
        <f t="shared" si="4"/>
        <v>213064.39093686276</v>
      </c>
    </row>
    <row r="40" spans="1:5">
      <c r="A40">
        <f t="shared" si="0"/>
        <v>27</v>
      </c>
      <c r="B40" s="1">
        <f t="shared" si="1"/>
        <v>3166.894343756237</v>
      </c>
      <c r="C40" s="1">
        <f t="shared" si="2"/>
        <v>1568.9114117297663</v>
      </c>
      <c r="D40" s="1">
        <f t="shared" si="3"/>
        <v>1597.9829320264707</v>
      </c>
      <c r="E40" s="1">
        <f t="shared" si="4"/>
        <v>211495.47952513301</v>
      </c>
    </row>
    <row r="41" spans="1:5">
      <c r="A41">
        <f t="shared" si="0"/>
        <v>28</v>
      </c>
      <c r="B41" s="1">
        <f t="shared" si="1"/>
        <v>3166.894343756237</v>
      </c>
      <c r="C41" s="1">
        <f t="shared" si="2"/>
        <v>1580.6782473177395</v>
      </c>
      <c r="D41" s="1">
        <f t="shared" si="3"/>
        <v>1586.2160964384975</v>
      </c>
      <c r="E41" s="1">
        <f t="shared" si="4"/>
        <v>209914.80127781528</v>
      </c>
    </row>
    <row r="42" spans="1:5">
      <c r="A42">
        <f t="shared" si="0"/>
        <v>29</v>
      </c>
      <c r="B42" s="1">
        <f t="shared" si="1"/>
        <v>3166.894343756237</v>
      </c>
      <c r="C42" s="1">
        <f t="shared" si="2"/>
        <v>1592.5333341726225</v>
      </c>
      <c r="D42" s="1">
        <f t="shared" si="3"/>
        <v>1574.3610095836145</v>
      </c>
      <c r="E42" s="1">
        <f t="shared" si="4"/>
        <v>208322.26794364266</v>
      </c>
    </row>
    <row r="43" spans="1:5">
      <c r="A43">
        <f t="shared" si="0"/>
        <v>30</v>
      </c>
      <c r="B43" s="1">
        <f t="shared" si="1"/>
        <v>3166.894343756237</v>
      </c>
      <c r="C43" s="1">
        <f t="shared" si="2"/>
        <v>1604.4773341789171</v>
      </c>
      <c r="D43" s="1">
        <f t="shared" si="3"/>
        <v>1562.41700957732</v>
      </c>
      <c r="E43" s="1">
        <f t="shared" si="4"/>
        <v>206717.79060946373</v>
      </c>
    </row>
    <row r="44" spans="1:5">
      <c r="A44">
        <f t="shared" si="0"/>
        <v>31</v>
      </c>
      <c r="B44" s="1">
        <f t="shared" si="1"/>
        <v>3166.894343756237</v>
      </c>
      <c r="C44" s="1">
        <f t="shared" si="2"/>
        <v>1616.510914185259</v>
      </c>
      <c r="D44" s="1">
        <f t="shared" si="3"/>
        <v>1550.383429570978</v>
      </c>
      <c r="E44" s="1">
        <f t="shared" si="4"/>
        <v>205101.27969527847</v>
      </c>
    </row>
    <row r="45" spans="1:5">
      <c r="A45">
        <f t="shared" si="0"/>
        <v>32</v>
      </c>
      <c r="B45" s="1">
        <f t="shared" si="1"/>
        <v>3166.894343756237</v>
      </c>
      <c r="C45" s="1">
        <f t="shared" si="2"/>
        <v>1628.6347460416487</v>
      </c>
      <c r="D45" s="1">
        <f t="shared" si="3"/>
        <v>1538.2595977145884</v>
      </c>
      <c r="E45" s="1">
        <f t="shared" si="4"/>
        <v>203472.64494923683</v>
      </c>
    </row>
    <row r="46" spans="1:5">
      <c r="A46">
        <f t="shared" si="0"/>
        <v>33</v>
      </c>
      <c r="B46" s="1">
        <f t="shared" si="1"/>
        <v>3166.894343756237</v>
      </c>
      <c r="C46" s="1">
        <f t="shared" si="2"/>
        <v>1640.849506636961</v>
      </c>
      <c r="D46" s="1">
        <f t="shared" si="3"/>
        <v>1526.0448371192761</v>
      </c>
      <c r="E46" s="1">
        <f t="shared" si="4"/>
        <v>201831.79544259986</v>
      </c>
    </row>
    <row r="47" spans="1:5">
      <c r="A47">
        <f t="shared" si="0"/>
        <v>34</v>
      </c>
      <c r="B47" s="1">
        <f t="shared" si="1"/>
        <v>3166.894343756237</v>
      </c>
      <c r="C47" s="1">
        <f t="shared" si="2"/>
        <v>1653.1558779367381</v>
      </c>
      <c r="D47" s="1">
        <f t="shared" si="3"/>
        <v>1513.738465819499</v>
      </c>
      <c r="E47" s="1">
        <f t="shared" si="4"/>
        <v>200178.63956466311</v>
      </c>
    </row>
    <row r="48" spans="1:5">
      <c r="A48">
        <f t="shared" si="0"/>
        <v>35</v>
      </c>
      <c r="B48" s="1">
        <f t="shared" si="1"/>
        <v>3166.894343756237</v>
      </c>
      <c r="C48" s="1">
        <f t="shared" si="2"/>
        <v>1665.5545470212637</v>
      </c>
      <c r="D48" s="1">
        <f t="shared" si="3"/>
        <v>1501.3397967349733</v>
      </c>
      <c r="E48" s="1">
        <f t="shared" si="4"/>
        <v>198513.08501764186</v>
      </c>
    </row>
    <row r="49" spans="1:5">
      <c r="A49">
        <f t="shared" si="0"/>
        <v>36</v>
      </c>
      <c r="B49" s="1">
        <f t="shared" si="1"/>
        <v>3166.894343756237</v>
      </c>
      <c r="C49" s="1">
        <f t="shared" si="2"/>
        <v>1678.0462061239232</v>
      </c>
      <c r="D49" s="1">
        <f t="shared" si="3"/>
        <v>1488.8481376323139</v>
      </c>
      <c r="E49" s="1">
        <f t="shared" si="4"/>
        <v>196835.03881151794</v>
      </c>
    </row>
    <row r="50" spans="1:5">
      <c r="A50">
        <f t="shared" si="0"/>
        <v>37</v>
      </c>
      <c r="B50" s="1">
        <f t="shared" si="1"/>
        <v>3166.894343756237</v>
      </c>
      <c r="C50" s="1">
        <f t="shared" si="2"/>
        <v>1690.6315526698527</v>
      </c>
      <c r="D50" s="1">
        <f t="shared" si="3"/>
        <v>1476.2627910863844</v>
      </c>
      <c r="E50" s="1">
        <f t="shared" si="4"/>
        <v>195144.40725884808</v>
      </c>
    </row>
    <row r="51" spans="1:5">
      <c r="A51">
        <f t="shared" si="0"/>
        <v>38</v>
      </c>
      <c r="B51" s="1">
        <f t="shared" si="1"/>
        <v>3166.894343756237</v>
      </c>
      <c r="C51" s="1">
        <f t="shared" si="2"/>
        <v>1703.3112893148766</v>
      </c>
      <c r="D51" s="1">
        <f t="shared" si="3"/>
        <v>1463.5830544413604</v>
      </c>
      <c r="E51" s="1">
        <f t="shared" si="4"/>
        <v>193441.0959695332</v>
      </c>
    </row>
    <row r="52" spans="1:5">
      <c r="A52">
        <f t="shared" si="0"/>
        <v>39</v>
      </c>
      <c r="B52" s="1">
        <f t="shared" si="1"/>
        <v>3166.894343756237</v>
      </c>
      <c r="C52" s="1">
        <f t="shared" si="2"/>
        <v>1716.0861239847382</v>
      </c>
      <c r="D52" s="1">
        <f t="shared" si="3"/>
        <v>1450.8082197714989</v>
      </c>
      <c r="E52" s="1">
        <f t="shared" si="4"/>
        <v>191725.00984554845</v>
      </c>
    </row>
    <row r="53" spans="1:5">
      <c r="A53">
        <f t="shared" si="0"/>
        <v>40</v>
      </c>
      <c r="B53" s="1">
        <f t="shared" si="1"/>
        <v>3166.894343756237</v>
      </c>
      <c r="C53" s="1">
        <f t="shared" si="2"/>
        <v>1728.9567699146237</v>
      </c>
      <c r="D53" s="1">
        <f t="shared" si="3"/>
        <v>1437.9375738416134</v>
      </c>
      <c r="E53" s="1">
        <f t="shared" si="4"/>
        <v>189996.05307563383</v>
      </c>
    </row>
    <row r="54" spans="1:5">
      <c r="A54">
        <f t="shared" si="0"/>
        <v>41</v>
      </c>
      <c r="B54" s="1">
        <f t="shared" si="1"/>
        <v>3166.894343756237</v>
      </c>
      <c r="C54" s="1">
        <f t="shared" si="2"/>
        <v>1741.9239456889834</v>
      </c>
      <c r="D54" s="1">
        <f t="shared" si="3"/>
        <v>1424.9703980672537</v>
      </c>
      <c r="E54" s="1">
        <f t="shared" si="4"/>
        <v>188254.12912994483</v>
      </c>
    </row>
    <row r="55" spans="1:5">
      <c r="A55">
        <f t="shared" si="0"/>
        <v>42</v>
      </c>
      <c r="B55" s="1">
        <f t="shared" si="1"/>
        <v>3166.894343756237</v>
      </c>
      <c r="C55" s="1">
        <f t="shared" si="2"/>
        <v>1754.9883752816509</v>
      </c>
      <c r="D55" s="1">
        <f t="shared" si="3"/>
        <v>1411.9059684745862</v>
      </c>
      <c r="E55" s="1">
        <f t="shared" si="4"/>
        <v>186499.14075466318</v>
      </c>
    </row>
    <row r="56" spans="1:5">
      <c r="A56">
        <f t="shared" si="0"/>
        <v>43</v>
      </c>
      <c r="B56" s="1">
        <f t="shared" si="1"/>
        <v>3166.894343756237</v>
      </c>
      <c r="C56" s="1">
        <f t="shared" si="2"/>
        <v>1768.1507880962633</v>
      </c>
      <c r="D56" s="1">
        <f t="shared" si="3"/>
        <v>1398.7435556599737</v>
      </c>
      <c r="E56" s="1">
        <f t="shared" si="4"/>
        <v>184730.98996656691</v>
      </c>
    </row>
    <row r="57" spans="1:5">
      <c r="A57">
        <f t="shared" si="0"/>
        <v>44</v>
      </c>
      <c r="B57" s="1">
        <f t="shared" si="1"/>
        <v>3166.894343756237</v>
      </c>
      <c r="C57" s="1">
        <f t="shared" si="2"/>
        <v>1781.4119190069853</v>
      </c>
      <c r="D57" s="1">
        <f t="shared" si="3"/>
        <v>1385.4824247492518</v>
      </c>
      <c r="E57" s="1">
        <f t="shared" si="4"/>
        <v>182949.57804755992</v>
      </c>
    </row>
    <row r="58" spans="1:5">
      <c r="A58">
        <f t="shared" si="0"/>
        <v>45</v>
      </c>
      <c r="B58" s="1">
        <f t="shared" si="1"/>
        <v>3166.894343756237</v>
      </c>
      <c r="C58" s="1">
        <f t="shared" si="2"/>
        <v>1794.7725083995376</v>
      </c>
      <c r="D58" s="1">
        <f t="shared" si="3"/>
        <v>1372.1218353566994</v>
      </c>
      <c r="E58" s="1">
        <f t="shared" si="4"/>
        <v>181154.80553916038</v>
      </c>
    </row>
    <row r="59" spans="1:5">
      <c r="A59">
        <f t="shared" si="0"/>
        <v>46</v>
      </c>
      <c r="B59" s="1">
        <f t="shared" si="1"/>
        <v>3166.894343756237</v>
      </c>
      <c r="C59" s="1">
        <f t="shared" si="2"/>
        <v>1808.2333022125342</v>
      </c>
      <c r="D59" s="1">
        <f t="shared" si="3"/>
        <v>1358.6610415437028</v>
      </c>
      <c r="E59" s="1">
        <f t="shared" si="4"/>
        <v>179346.57223694786</v>
      </c>
    </row>
    <row r="60" spans="1:5">
      <c r="A60">
        <f t="shared" si="0"/>
        <v>47</v>
      </c>
      <c r="B60" s="1">
        <f t="shared" si="1"/>
        <v>3166.894343756237</v>
      </c>
      <c r="C60" s="1">
        <f t="shared" si="2"/>
        <v>1821.7950519791282</v>
      </c>
      <c r="D60" s="1">
        <f t="shared" si="3"/>
        <v>1345.0992917771089</v>
      </c>
      <c r="E60" s="1">
        <f t="shared" si="4"/>
        <v>177524.77718496873</v>
      </c>
    </row>
    <row r="61" spans="1:5">
      <c r="A61">
        <f t="shared" si="0"/>
        <v>48</v>
      </c>
      <c r="B61" s="1">
        <f t="shared" si="1"/>
        <v>3166.894343756237</v>
      </c>
      <c r="C61" s="1">
        <f t="shared" si="2"/>
        <v>1835.4585148689716</v>
      </c>
      <c r="D61" s="1">
        <f t="shared" si="3"/>
        <v>1331.4358288872654</v>
      </c>
      <c r="E61" s="1">
        <f t="shared" si="4"/>
        <v>175689.31867009975</v>
      </c>
    </row>
    <row r="62" spans="1:5">
      <c r="A62">
        <f t="shared" si="0"/>
        <v>49</v>
      </c>
      <c r="B62" s="1">
        <f t="shared" si="1"/>
        <v>3166.894343756237</v>
      </c>
      <c r="C62" s="1">
        <f t="shared" si="2"/>
        <v>1849.2244537304889</v>
      </c>
      <c r="D62" s="1">
        <f t="shared" si="3"/>
        <v>1317.6698900257481</v>
      </c>
      <c r="E62" s="1">
        <f t="shared" si="4"/>
        <v>173840.09421636927</v>
      </c>
    </row>
    <row r="63" spans="1:5">
      <c r="A63">
        <f t="shared" si="0"/>
        <v>50</v>
      </c>
      <c r="B63" s="1">
        <f t="shared" si="1"/>
        <v>3166.894343756237</v>
      </c>
      <c r="C63" s="1">
        <f t="shared" si="2"/>
        <v>1863.0936371334676</v>
      </c>
      <c r="D63" s="1">
        <f t="shared" si="3"/>
        <v>1303.8007066227694</v>
      </c>
      <c r="E63" s="1">
        <f t="shared" si="4"/>
        <v>171977.00057923581</v>
      </c>
    </row>
    <row r="64" spans="1:5">
      <c r="A64">
        <f t="shared" si="0"/>
        <v>51</v>
      </c>
      <c r="B64" s="1">
        <f t="shared" si="1"/>
        <v>3166.894343756237</v>
      </c>
      <c r="C64" s="1">
        <f t="shared" si="2"/>
        <v>1877.0668394119684</v>
      </c>
      <c r="D64" s="1">
        <f t="shared" si="3"/>
        <v>1289.8275043442686</v>
      </c>
      <c r="E64" s="1">
        <f t="shared" si="4"/>
        <v>170099.93373982384</v>
      </c>
    </row>
    <row r="65" spans="1:5">
      <c r="A65">
        <f t="shared" si="0"/>
        <v>52</v>
      </c>
      <c r="B65" s="1">
        <f t="shared" si="1"/>
        <v>3166.894343756237</v>
      </c>
      <c r="C65" s="1">
        <f t="shared" si="2"/>
        <v>1891.1448407075584</v>
      </c>
      <c r="D65" s="1">
        <f t="shared" si="3"/>
        <v>1275.7495030486787</v>
      </c>
      <c r="E65" s="1">
        <f t="shared" si="4"/>
        <v>168208.78889911628</v>
      </c>
    </row>
    <row r="66" spans="1:5">
      <c r="A66">
        <f t="shared" si="0"/>
        <v>53</v>
      </c>
      <c r="B66" s="1">
        <f t="shared" si="1"/>
        <v>3166.894343756237</v>
      </c>
      <c r="C66" s="1">
        <f t="shared" si="2"/>
        <v>1905.3284270128649</v>
      </c>
      <c r="D66" s="1">
        <f t="shared" si="3"/>
        <v>1261.5659167433721</v>
      </c>
      <c r="E66" s="1">
        <f t="shared" si="4"/>
        <v>166303.46047210341</v>
      </c>
    </row>
    <row r="67" spans="1:5">
      <c r="A67">
        <f t="shared" si="0"/>
        <v>54</v>
      </c>
      <c r="B67" s="1">
        <f t="shared" si="1"/>
        <v>3166.894343756237</v>
      </c>
      <c r="C67" s="1">
        <f t="shared" si="2"/>
        <v>1919.6183902154614</v>
      </c>
      <c r="D67" s="1">
        <f t="shared" si="3"/>
        <v>1247.2759535407756</v>
      </c>
      <c r="E67" s="1">
        <f t="shared" si="4"/>
        <v>164383.84208188794</v>
      </c>
    </row>
    <row r="68" spans="1:5">
      <c r="A68">
        <f t="shared" si="0"/>
        <v>55</v>
      </c>
      <c r="B68" s="1">
        <f t="shared" si="1"/>
        <v>3166.894343756237</v>
      </c>
      <c r="C68" s="1">
        <f t="shared" si="2"/>
        <v>1934.0155281420775</v>
      </c>
      <c r="D68" s="1">
        <f t="shared" si="3"/>
        <v>1232.8788156141595</v>
      </c>
      <c r="E68" s="1">
        <f t="shared" si="4"/>
        <v>162449.82655374586</v>
      </c>
    </row>
    <row r="69" spans="1:5">
      <c r="A69">
        <f t="shared" si="0"/>
        <v>56</v>
      </c>
      <c r="B69" s="1">
        <f t="shared" si="1"/>
        <v>3166.894343756237</v>
      </c>
      <c r="C69" s="1">
        <f t="shared" si="2"/>
        <v>1948.5206446031432</v>
      </c>
      <c r="D69" s="1">
        <f t="shared" si="3"/>
        <v>1218.3736991530939</v>
      </c>
      <c r="E69" s="1">
        <f t="shared" si="4"/>
        <v>160501.30590914271</v>
      </c>
    </row>
    <row r="70" spans="1:5">
      <c r="A70">
        <f t="shared" si="0"/>
        <v>57</v>
      </c>
      <c r="B70" s="1">
        <f t="shared" si="1"/>
        <v>3166.894343756237</v>
      </c>
      <c r="C70" s="1">
        <f t="shared" si="2"/>
        <v>1963.1345494376667</v>
      </c>
      <c r="D70" s="1">
        <f t="shared" si="3"/>
        <v>1203.7597943185704</v>
      </c>
      <c r="E70" s="1">
        <f t="shared" si="4"/>
        <v>158538.17135970504</v>
      </c>
    </row>
    <row r="71" spans="1:5">
      <c r="A71">
        <f t="shared" si="0"/>
        <v>58</v>
      </c>
      <c r="B71" s="1">
        <f t="shared" si="1"/>
        <v>3166.894343756237</v>
      </c>
      <c r="C71" s="1">
        <f t="shared" si="2"/>
        <v>1977.8580585584493</v>
      </c>
      <c r="D71" s="1">
        <f t="shared" si="3"/>
        <v>1189.0362851977877</v>
      </c>
      <c r="E71" s="1">
        <f t="shared" si="4"/>
        <v>156560.31330114658</v>
      </c>
    </row>
    <row r="72" spans="1:5">
      <c r="A72">
        <f t="shared" si="0"/>
        <v>59</v>
      </c>
      <c r="B72" s="1">
        <f t="shared" si="1"/>
        <v>3166.894343756237</v>
      </c>
      <c r="C72" s="1">
        <f t="shared" si="2"/>
        <v>1992.6919939976376</v>
      </c>
      <c r="D72" s="1">
        <f t="shared" si="3"/>
        <v>1174.2023497585994</v>
      </c>
      <c r="E72" s="1">
        <f t="shared" si="4"/>
        <v>154567.62130714895</v>
      </c>
    </row>
    <row r="73" spans="1:5">
      <c r="A73">
        <f t="shared" si="0"/>
        <v>60</v>
      </c>
      <c r="B73" s="1">
        <f t="shared" si="1"/>
        <v>3166.894343756237</v>
      </c>
      <c r="C73" s="1">
        <f t="shared" si="2"/>
        <v>2007.63718395262</v>
      </c>
      <c r="D73" s="1">
        <f t="shared" si="3"/>
        <v>1159.257159803617</v>
      </c>
      <c r="E73" s="1">
        <f t="shared" si="4"/>
        <v>152559.98412319634</v>
      </c>
    </row>
    <row r="74" spans="1:5">
      <c r="A74">
        <f t="shared" si="0"/>
        <v>61</v>
      </c>
      <c r="B74" s="1">
        <f t="shared" si="1"/>
        <v>3166.894343756237</v>
      </c>
      <c r="C74" s="1">
        <f t="shared" si="2"/>
        <v>2022.6944628322647</v>
      </c>
      <c r="D74" s="1">
        <f t="shared" si="3"/>
        <v>1144.1998809239724</v>
      </c>
      <c r="E74" s="1">
        <f t="shared" si="4"/>
        <v>150537.28966036407</v>
      </c>
    </row>
    <row r="75" spans="1:5">
      <c r="A75">
        <f t="shared" si="0"/>
        <v>62</v>
      </c>
      <c r="B75" s="1">
        <f t="shared" si="1"/>
        <v>3166.894343756237</v>
      </c>
      <c r="C75" s="1">
        <f t="shared" si="2"/>
        <v>2037.8646713035066</v>
      </c>
      <c r="D75" s="1">
        <f t="shared" si="3"/>
        <v>1129.0296724527304</v>
      </c>
      <c r="E75" s="1">
        <f t="shared" si="4"/>
        <v>148499.42498906056</v>
      </c>
    </row>
    <row r="76" spans="1:5">
      <c r="A76">
        <f t="shared" si="0"/>
        <v>63</v>
      </c>
      <c r="B76" s="1">
        <f t="shared" si="1"/>
        <v>3166.894343756237</v>
      </c>
      <c r="C76" s="1">
        <f t="shared" si="2"/>
        <v>2053.1486563382832</v>
      </c>
      <c r="D76" s="1">
        <f t="shared" si="3"/>
        <v>1113.7456874179541</v>
      </c>
      <c r="E76" s="1">
        <f t="shared" si="4"/>
        <v>146446.27633272228</v>
      </c>
    </row>
    <row r="77" spans="1:5">
      <c r="A77">
        <f t="shared" si="0"/>
        <v>64</v>
      </c>
      <c r="B77" s="1">
        <f t="shared" si="1"/>
        <v>3166.894343756237</v>
      </c>
      <c r="C77" s="1">
        <f t="shared" si="2"/>
        <v>2068.5472712608198</v>
      </c>
      <c r="D77" s="1">
        <f t="shared" si="3"/>
        <v>1098.347072495417</v>
      </c>
      <c r="E77" s="1">
        <f t="shared" si="4"/>
        <v>144377.72906146146</v>
      </c>
    </row>
    <row r="78" spans="1:5">
      <c r="A78">
        <f t="shared" si="0"/>
        <v>65</v>
      </c>
      <c r="B78" s="1">
        <f t="shared" si="1"/>
        <v>3166.894343756237</v>
      </c>
      <c r="C78" s="1">
        <f t="shared" si="2"/>
        <v>2084.061375795276</v>
      </c>
      <c r="D78" s="1">
        <f t="shared" si="3"/>
        <v>1082.832967960961</v>
      </c>
      <c r="E78" s="1">
        <f t="shared" si="4"/>
        <v>142293.66768566618</v>
      </c>
    </row>
    <row r="79" spans="1:5">
      <c r="A79">
        <f t="shared" si="0"/>
        <v>66</v>
      </c>
      <c r="B79" s="1">
        <f t="shared" si="1"/>
        <v>3166.894343756237</v>
      </c>
      <c r="C79" s="1">
        <f t="shared" si="2"/>
        <v>2099.6918361137405</v>
      </c>
      <c r="D79" s="1">
        <f t="shared" si="3"/>
        <v>1067.2025076424964</v>
      </c>
      <c r="E79" s="1">
        <f t="shared" si="4"/>
        <v>140193.97584955243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3166.894343756237</v>
      </c>
      <c r="C80" s="1">
        <f t="shared" ref="C80:C143" si="7">IF(A80="","",B80-D80)</f>
        <v>2115.439524884594</v>
      </c>
      <c r="D80" s="1">
        <f t="shared" ref="D80:D143" si="8">IF(A80="","",(E79*($B$6/$B$8)))</f>
        <v>1051.4548188716433</v>
      </c>
      <c r="E80" s="1">
        <f t="shared" ref="E80:E143" si="9">IF(A80="","",E79-C80)</f>
        <v>138078.53632466783</v>
      </c>
    </row>
    <row r="81" spans="1:5">
      <c r="A81">
        <f t="shared" si="5"/>
        <v>68</v>
      </c>
      <c r="B81" s="1">
        <f t="shared" si="6"/>
        <v>3166.894343756237</v>
      </c>
      <c r="C81" s="1">
        <f t="shared" si="7"/>
        <v>2131.3053213212283</v>
      </c>
      <c r="D81" s="1">
        <f t="shared" si="8"/>
        <v>1035.5890224350087</v>
      </c>
      <c r="E81" s="1">
        <f t="shared" si="9"/>
        <v>135947.23100334659</v>
      </c>
    </row>
    <row r="82" spans="1:5">
      <c r="A82">
        <f t="shared" si="5"/>
        <v>69</v>
      </c>
      <c r="B82" s="1">
        <f t="shared" si="6"/>
        <v>3166.894343756237</v>
      </c>
      <c r="C82" s="1">
        <f t="shared" si="7"/>
        <v>2147.2901112311374</v>
      </c>
      <c r="D82" s="1">
        <f t="shared" si="8"/>
        <v>1019.6042325250994</v>
      </c>
      <c r="E82" s="1">
        <f t="shared" si="9"/>
        <v>133799.94089211547</v>
      </c>
    </row>
    <row r="83" spans="1:5">
      <c r="A83">
        <f t="shared" si="5"/>
        <v>70</v>
      </c>
      <c r="B83" s="1">
        <f t="shared" si="6"/>
        <v>3166.894343756237</v>
      </c>
      <c r="C83" s="1">
        <f t="shared" si="7"/>
        <v>2163.394787065371</v>
      </c>
      <c r="D83" s="1">
        <f t="shared" si="8"/>
        <v>1003.499556690866</v>
      </c>
      <c r="E83" s="1">
        <f t="shared" si="9"/>
        <v>131636.5461050501</v>
      </c>
    </row>
    <row r="84" spans="1:5">
      <c r="A84">
        <f t="shared" si="5"/>
        <v>71</v>
      </c>
      <c r="B84" s="1">
        <f t="shared" si="6"/>
        <v>3166.894343756237</v>
      </c>
      <c r="C84" s="1">
        <f t="shared" si="7"/>
        <v>2179.6202479683616</v>
      </c>
      <c r="D84" s="1">
        <f t="shared" si="8"/>
        <v>987.27409578787569</v>
      </c>
      <c r="E84" s="1">
        <f t="shared" si="9"/>
        <v>129456.92585708175</v>
      </c>
    </row>
    <row r="85" spans="1:5">
      <c r="A85">
        <f t="shared" si="5"/>
        <v>72</v>
      </c>
      <c r="B85" s="1">
        <f t="shared" si="6"/>
        <v>3166.894343756237</v>
      </c>
      <c r="C85" s="1">
        <f t="shared" si="7"/>
        <v>2195.9673998281241</v>
      </c>
      <c r="D85" s="1">
        <f t="shared" si="8"/>
        <v>970.92694392811302</v>
      </c>
      <c r="E85" s="1">
        <f t="shared" si="9"/>
        <v>127260.95845725363</v>
      </c>
    </row>
    <row r="86" spans="1:5">
      <c r="A86">
        <f t="shared" si="5"/>
        <v>73</v>
      </c>
      <c r="B86" s="1">
        <f t="shared" si="6"/>
        <v>3166.894343756237</v>
      </c>
      <c r="C86" s="1">
        <f t="shared" si="7"/>
        <v>2212.4371553268347</v>
      </c>
      <c r="D86" s="1">
        <f t="shared" si="8"/>
        <v>954.45718842940221</v>
      </c>
      <c r="E86" s="1">
        <f t="shared" si="9"/>
        <v>125048.5213019268</v>
      </c>
    </row>
    <row r="87" spans="1:5">
      <c r="A87">
        <f t="shared" si="5"/>
        <v>74</v>
      </c>
      <c r="B87" s="1">
        <f t="shared" si="6"/>
        <v>3166.894343756237</v>
      </c>
      <c r="C87" s="1">
        <f t="shared" si="7"/>
        <v>2229.0304339917861</v>
      </c>
      <c r="D87" s="1">
        <f t="shared" si="8"/>
        <v>937.86390976445091</v>
      </c>
      <c r="E87" s="1">
        <f t="shared" si="9"/>
        <v>122819.490867935</v>
      </c>
    </row>
    <row r="88" spans="1:5">
      <c r="A88">
        <f t="shared" si="5"/>
        <v>75</v>
      </c>
      <c r="B88" s="1">
        <f t="shared" si="6"/>
        <v>3166.894343756237</v>
      </c>
      <c r="C88" s="1">
        <f t="shared" si="7"/>
        <v>2245.7481622467244</v>
      </c>
      <c r="D88" s="1">
        <f t="shared" si="8"/>
        <v>921.14618150951253</v>
      </c>
      <c r="E88" s="1">
        <f t="shared" si="9"/>
        <v>120573.74270568827</v>
      </c>
    </row>
    <row r="89" spans="1:5">
      <c r="A89">
        <f t="shared" si="5"/>
        <v>76</v>
      </c>
      <c r="B89" s="1">
        <f t="shared" si="6"/>
        <v>3166.894343756237</v>
      </c>
      <c r="C89" s="1">
        <f t="shared" si="7"/>
        <v>2262.5912734635749</v>
      </c>
      <c r="D89" s="1">
        <f t="shared" si="8"/>
        <v>904.30307029266203</v>
      </c>
      <c r="E89" s="1">
        <f t="shared" si="9"/>
        <v>118311.15143222469</v>
      </c>
    </row>
    <row r="90" spans="1:5">
      <c r="A90">
        <f t="shared" si="5"/>
        <v>77</v>
      </c>
      <c r="B90" s="1">
        <f t="shared" si="6"/>
        <v>3166.894343756237</v>
      </c>
      <c r="C90" s="1">
        <f t="shared" si="7"/>
        <v>2279.5607080145519</v>
      </c>
      <c r="D90" s="1">
        <f t="shared" si="8"/>
        <v>887.33363574168516</v>
      </c>
      <c r="E90" s="1">
        <f t="shared" si="9"/>
        <v>116031.59072421014</v>
      </c>
    </row>
    <row r="91" spans="1:5">
      <c r="A91">
        <f t="shared" si="5"/>
        <v>78</v>
      </c>
      <c r="B91" s="1">
        <f t="shared" si="6"/>
        <v>3166.894343756237</v>
      </c>
      <c r="C91" s="1">
        <f t="shared" si="7"/>
        <v>2296.6574133246613</v>
      </c>
      <c r="D91" s="1">
        <f t="shared" si="8"/>
        <v>870.23693043157596</v>
      </c>
      <c r="E91" s="1">
        <f t="shared" si="9"/>
        <v>113734.93331088548</v>
      </c>
    </row>
    <row r="92" spans="1:5">
      <c r="A92">
        <f t="shared" si="5"/>
        <v>79</v>
      </c>
      <c r="B92" s="1">
        <f t="shared" si="6"/>
        <v>3166.894343756237</v>
      </c>
      <c r="C92" s="1">
        <f t="shared" si="7"/>
        <v>2313.8823439245962</v>
      </c>
      <c r="D92" s="1">
        <f t="shared" si="8"/>
        <v>853.01199983164099</v>
      </c>
      <c r="E92" s="1">
        <f t="shared" si="9"/>
        <v>111421.05096696089</v>
      </c>
    </row>
    <row r="93" spans="1:5">
      <c r="A93">
        <f t="shared" si="5"/>
        <v>80</v>
      </c>
      <c r="B93" s="1">
        <f t="shared" si="6"/>
        <v>3166.894343756237</v>
      </c>
      <c r="C93" s="1">
        <f t="shared" si="7"/>
        <v>2331.2364615040306</v>
      </c>
      <c r="D93" s="1">
        <f t="shared" si="8"/>
        <v>835.6578822522066</v>
      </c>
      <c r="E93" s="1">
        <f t="shared" si="9"/>
        <v>109089.81450545686</v>
      </c>
    </row>
    <row r="94" spans="1:5">
      <c r="A94">
        <f t="shared" si="5"/>
        <v>81</v>
      </c>
      <c r="B94" s="1">
        <f t="shared" si="6"/>
        <v>3166.894343756237</v>
      </c>
      <c r="C94" s="1">
        <f t="shared" si="7"/>
        <v>2348.7207349653108</v>
      </c>
      <c r="D94" s="1">
        <f t="shared" si="8"/>
        <v>818.17360879092644</v>
      </c>
      <c r="E94" s="1">
        <f t="shared" si="9"/>
        <v>106741.09377049154</v>
      </c>
    </row>
    <row r="95" spans="1:5">
      <c r="A95">
        <f t="shared" si="5"/>
        <v>82</v>
      </c>
      <c r="B95" s="1">
        <f t="shared" si="6"/>
        <v>3166.894343756237</v>
      </c>
      <c r="C95" s="1">
        <f t="shared" si="7"/>
        <v>2366.3361404775505</v>
      </c>
      <c r="D95" s="1">
        <f t="shared" si="8"/>
        <v>800.55820327868651</v>
      </c>
      <c r="E95" s="1">
        <f t="shared" si="9"/>
        <v>104374.75763001399</v>
      </c>
    </row>
    <row r="96" spans="1:5">
      <c r="A96">
        <f t="shared" si="5"/>
        <v>83</v>
      </c>
      <c r="B96" s="1">
        <f t="shared" si="6"/>
        <v>3166.894343756237</v>
      </c>
      <c r="C96" s="1">
        <f t="shared" si="7"/>
        <v>2384.0836615311323</v>
      </c>
      <c r="D96" s="1">
        <f t="shared" si="8"/>
        <v>782.81068222510487</v>
      </c>
      <c r="E96" s="1">
        <f t="shared" si="9"/>
        <v>101990.67396848286</v>
      </c>
    </row>
    <row r="97" spans="1:5">
      <c r="A97">
        <f t="shared" si="5"/>
        <v>84</v>
      </c>
      <c r="B97" s="1">
        <f t="shared" si="6"/>
        <v>3166.894343756237</v>
      </c>
      <c r="C97" s="1">
        <f t="shared" si="7"/>
        <v>2401.9642889926154</v>
      </c>
      <c r="D97" s="1">
        <f t="shared" si="8"/>
        <v>764.93005476362146</v>
      </c>
      <c r="E97" s="1">
        <f t="shared" si="9"/>
        <v>99588.709679490246</v>
      </c>
    </row>
    <row r="98" spans="1:5">
      <c r="A98">
        <f t="shared" si="5"/>
        <v>85</v>
      </c>
      <c r="B98" s="1">
        <f t="shared" si="6"/>
        <v>3166.894343756237</v>
      </c>
      <c r="C98" s="1">
        <f t="shared" si="7"/>
        <v>2419.9790211600603</v>
      </c>
      <c r="D98" s="1">
        <f t="shared" si="8"/>
        <v>746.91532259617679</v>
      </c>
      <c r="E98" s="1">
        <f t="shared" si="9"/>
        <v>97168.730658330183</v>
      </c>
    </row>
    <row r="99" spans="1:5">
      <c r="A99">
        <f t="shared" si="5"/>
        <v>86</v>
      </c>
      <c r="B99" s="1">
        <f t="shared" si="6"/>
        <v>3166.894343756237</v>
      </c>
      <c r="C99" s="1">
        <f t="shared" si="7"/>
        <v>2438.1288638187607</v>
      </c>
      <c r="D99" s="1">
        <f t="shared" si="8"/>
        <v>728.76547993747636</v>
      </c>
      <c r="E99" s="1">
        <f t="shared" si="9"/>
        <v>94730.601794511429</v>
      </c>
    </row>
    <row r="100" spans="1:5">
      <c r="A100">
        <f t="shared" si="5"/>
        <v>87</v>
      </c>
      <c r="B100" s="1">
        <f t="shared" si="6"/>
        <v>3166.894343756237</v>
      </c>
      <c r="C100" s="1">
        <f t="shared" si="7"/>
        <v>2456.4148302974013</v>
      </c>
      <c r="D100" s="1">
        <f t="shared" si="8"/>
        <v>710.47951345883564</v>
      </c>
      <c r="E100" s="1">
        <f t="shared" si="9"/>
        <v>92274.186964214023</v>
      </c>
    </row>
    <row r="101" spans="1:5">
      <c r="A101">
        <f t="shared" si="5"/>
        <v>88</v>
      </c>
      <c r="B101" s="1">
        <f t="shared" si="6"/>
        <v>3166.894343756237</v>
      </c>
      <c r="C101" s="1">
        <f t="shared" si="7"/>
        <v>2474.8379415246318</v>
      </c>
      <c r="D101" s="1">
        <f t="shared" si="8"/>
        <v>692.05640223160515</v>
      </c>
      <c r="E101" s="1">
        <f t="shared" si="9"/>
        <v>89799.349022689392</v>
      </c>
    </row>
    <row r="102" spans="1:5">
      <c r="A102">
        <f t="shared" si="5"/>
        <v>89</v>
      </c>
      <c r="B102" s="1">
        <f t="shared" si="6"/>
        <v>3166.894343756237</v>
      </c>
      <c r="C102" s="1">
        <f t="shared" si="7"/>
        <v>2493.3992260860668</v>
      </c>
      <c r="D102" s="1">
        <f t="shared" si="8"/>
        <v>673.49511767017043</v>
      </c>
      <c r="E102" s="1">
        <f t="shared" si="9"/>
        <v>87305.949796603323</v>
      </c>
    </row>
    <row r="103" spans="1:5">
      <c r="A103">
        <f t="shared" si="5"/>
        <v>90</v>
      </c>
      <c r="B103" s="1">
        <f t="shared" si="6"/>
        <v>3166.894343756237</v>
      </c>
      <c r="C103" s="1">
        <f t="shared" si="7"/>
        <v>2512.0997202817121</v>
      </c>
      <c r="D103" s="1">
        <f t="shared" si="8"/>
        <v>654.79462347452488</v>
      </c>
      <c r="E103" s="1">
        <f t="shared" si="9"/>
        <v>84793.850076321614</v>
      </c>
    </row>
    <row r="104" spans="1:5">
      <c r="A104">
        <f t="shared" si="5"/>
        <v>91</v>
      </c>
      <c r="B104" s="1">
        <f t="shared" si="6"/>
        <v>3166.894343756237</v>
      </c>
      <c r="C104" s="1">
        <f t="shared" si="7"/>
        <v>2530.940468183825</v>
      </c>
      <c r="D104" s="1">
        <f t="shared" si="8"/>
        <v>635.95387557241213</v>
      </c>
      <c r="E104" s="1">
        <f t="shared" si="9"/>
        <v>82262.909608137794</v>
      </c>
    </row>
    <row r="105" spans="1:5">
      <c r="A105">
        <f t="shared" si="5"/>
        <v>92</v>
      </c>
      <c r="B105" s="1">
        <f t="shared" si="6"/>
        <v>3166.894343756237</v>
      </c>
      <c r="C105" s="1">
        <f t="shared" si="7"/>
        <v>2549.9225216952036</v>
      </c>
      <c r="D105" s="1">
        <f t="shared" si="8"/>
        <v>616.97182206103344</v>
      </c>
      <c r="E105" s="1">
        <f t="shared" si="9"/>
        <v>79712.98708644259</v>
      </c>
    </row>
    <row r="106" spans="1:5">
      <c r="A106">
        <f t="shared" si="5"/>
        <v>93</v>
      </c>
      <c r="B106" s="1">
        <f t="shared" si="6"/>
        <v>3166.894343756237</v>
      </c>
      <c r="C106" s="1">
        <f t="shared" si="7"/>
        <v>2569.0469406079178</v>
      </c>
      <c r="D106" s="1">
        <f t="shared" si="8"/>
        <v>597.84740314831936</v>
      </c>
      <c r="E106" s="1">
        <f t="shared" si="9"/>
        <v>77143.940145834669</v>
      </c>
    </row>
    <row r="107" spans="1:5">
      <c r="A107">
        <f t="shared" si="5"/>
        <v>94</v>
      </c>
      <c r="B107" s="1">
        <f t="shared" si="6"/>
        <v>3166.894343756237</v>
      </c>
      <c r="C107" s="1">
        <f t="shared" si="7"/>
        <v>2588.314792662477</v>
      </c>
      <c r="D107" s="1">
        <f t="shared" si="8"/>
        <v>578.57955109375996</v>
      </c>
      <c r="E107" s="1">
        <f t="shared" si="9"/>
        <v>74555.625353172189</v>
      </c>
    </row>
    <row r="108" spans="1:5">
      <c r="A108">
        <f t="shared" si="5"/>
        <v>95</v>
      </c>
      <c r="B108" s="1">
        <f t="shared" si="6"/>
        <v>3166.894343756237</v>
      </c>
      <c r="C108" s="1">
        <f t="shared" si="7"/>
        <v>2607.7271536074459</v>
      </c>
      <c r="D108" s="1">
        <f t="shared" si="8"/>
        <v>559.16719014879141</v>
      </c>
      <c r="E108" s="1">
        <f t="shared" si="9"/>
        <v>71947.898199564748</v>
      </c>
    </row>
    <row r="109" spans="1:5">
      <c r="A109">
        <f t="shared" si="5"/>
        <v>96</v>
      </c>
      <c r="B109" s="1">
        <f t="shared" si="6"/>
        <v>3166.894343756237</v>
      </c>
      <c r="C109" s="1">
        <f t="shared" si="7"/>
        <v>2627.2851072595013</v>
      </c>
      <c r="D109" s="1">
        <f t="shared" si="8"/>
        <v>539.60923649673555</v>
      </c>
      <c r="E109" s="1">
        <f t="shared" si="9"/>
        <v>69320.613092305241</v>
      </c>
    </row>
    <row r="110" spans="1:5">
      <c r="A110">
        <f t="shared" si="5"/>
        <v>97</v>
      </c>
      <c r="B110" s="1">
        <f t="shared" si="6"/>
        <v>3166.894343756237</v>
      </c>
      <c r="C110" s="1">
        <f t="shared" si="7"/>
        <v>2646.9897455639475</v>
      </c>
      <c r="D110" s="1">
        <f t="shared" si="8"/>
        <v>519.90459819228931</v>
      </c>
      <c r="E110" s="1">
        <f t="shared" si="9"/>
        <v>66673.623346741297</v>
      </c>
    </row>
    <row r="111" spans="1:5">
      <c r="A111">
        <f t="shared" si="5"/>
        <v>98</v>
      </c>
      <c r="B111" s="1">
        <f t="shared" si="6"/>
        <v>3166.894343756237</v>
      </c>
      <c r="C111" s="1">
        <f t="shared" si="7"/>
        <v>2666.8421686556776</v>
      </c>
      <c r="D111" s="1">
        <f t="shared" si="8"/>
        <v>500.05217510055968</v>
      </c>
      <c r="E111" s="1">
        <f t="shared" si="9"/>
        <v>64006.781178085621</v>
      </c>
    </row>
    <row r="112" spans="1:5">
      <c r="A112">
        <f t="shared" si="5"/>
        <v>99</v>
      </c>
      <c r="B112" s="1">
        <f t="shared" si="6"/>
        <v>3166.894343756237</v>
      </c>
      <c r="C112" s="1">
        <f t="shared" si="7"/>
        <v>2686.8434849205951</v>
      </c>
      <c r="D112" s="1">
        <f t="shared" si="8"/>
        <v>480.05085883564215</v>
      </c>
      <c r="E112" s="1">
        <f t="shared" si="9"/>
        <v>61319.937693165026</v>
      </c>
    </row>
    <row r="113" spans="1:5">
      <c r="A113">
        <f t="shared" si="5"/>
        <v>100</v>
      </c>
      <c r="B113" s="1">
        <f t="shared" si="6"/>
        <v>3166.894343756237</v>
      </c>
      <c r="C113" s="1">
        <f t="shared" si="7"/>
        <v>2706.9948110574992</v>
      </c>
      <c r="D113" s="1">
        <f t="shared" si="8"/>
        <v>459.89953269873769</v>
      </c>
      <c r="E113" s="1">
        <f t="shared" si="9"/>
        <v>58612.942882107527</v>
      </c>
    </row>
    <row r="114" spans="1:5">
      <c r="A114">
        <f t="shared" si="5"/>
        <v>101</v>
      </c>
      <c r="B114" s="1">
        <f t="shared" si="6"/>
        <v>3166.894343756237</v>
      </c>
      <c r="C114" s="1">
        <f t="shared" si="7"/>
        <v>2727.2972721404308</v>
      </c>
      <c r="D114" s="1">
        <f t="shared" si="8"/>
        <v>439.59707161580644</v>
      </c>
      <c r="E114" s="1">
        <f t="shared" si="9"/>
        <v>55885.645609967098</v>
      </c>
    </row>
    <row r="115" spans="1:5">
      <c r="A115">
        <f t="shared" si="5"/>
        <v>102</v>
      </c>
      <c r="B115" s="1">
        <f t="shared" si="6"/>
        <v>3166.894343756237</v>
      </c>
      <c r="C115" s="1">
        <f t="shared" si="7"/>
        <v>2747.7520016814838</v>
      </c>
      <c r="D115" s="1">
        <f t="shared" si="8"/>
        <v>419.14234207475323</v>
      </c>
      <c r="E115" s="1">
        <f t="shared" si="9"/>
        <v>53137.893608285616</v>
      </c>
    </row>
    <row r="116" spans="1:5">
      <c r="A116">
        <f t="shared" si="5"/>
        <v>103</v>
      </c>
      <c r="B116" s="1">
        <f t="shared" si="6"/>
        <v>3166.894343756237</v>
      </c>
      <c r="C116" s="1">
        <f t="shared" si="7"/>
        <v>2768.3601416940951</v>
      </c>
      <c r="D116" s="1">
        <f t="shared" si="8"/>
        <v>398.53420206214213</v>
      </c>
      <c r="E116" s="1">
        <f t="shared" si="9"/>
        <v>50369.533466591522</v>
      </c>
    </row>
    <row r="117" spans="1:5">
      <c r="A117">
        <f t="shared" si="5"/>
        <v>104</v>
      </c>
      <c r="B117" s="1">
        <f t="shared" si="6"/>
        <v>3166.894343756237</v>
      </c>
      <c r="C117" s="1">
        <f t="shared" si="7"/>
        <v>2789.1228427568008</v>
      </c>
      <c r="D117" s="1">
        <f t="shared" si="8"/>
        <v>377.7715009994364</v>
      </c>
      <c r="E117" s="1">
        <f t="shared" si="9"/>
        <v>47580.410623834723</v>
      </c>
    </row>
    <row r="118" spans="1:5">
      <c r="A118">
        <f t="shared" si="5"/>
        <v>105</v>
      </c>
      <c r="B118" s="1">
        <f t="shared" si="6"/>
        <v>3166.894343756237</v>
      </c>
      <c r="C118" s="1">
        <f t="shared" si="7"/>
        <v>2810.0412640774766</v>
      </c>
      <c r="D118" s="1">
        <f t="shared" si="8"/>
        <v>356.85307967876042</v>
      </c>
      <c r="E118" s="1">
        <f t="shared" si="9"/>
        <v>44770.369359757249</v>
      </c>
    </row>
    <row r="119" spans="1:5">
      <c r="A119">
        <f t="shared" si="5"/>
        <v>106</v>
      </c>
      <c r="B119" s="1">
        <f t="shared" si="6"/>
        <v>3166.894343756237</v>
      </c>
      <c r="C119" s="1">
        <f t="shared" si="7"/>
        <v>2831.1165735580576</v>
      </c>
      <c r="D119" s="1">
        <f t="shared" si="8"/>
        <v>335.77777019817938</v>
      </c>
      <c r="E119" s="1">
        <f t="shared" si="9"/>
        <v>41939.252786199191</v>
      </c>
    </row>
    <row r="120" spans="1:5">
      <c r="A120">
        <f t="shared" si="5"/>
        <v>107</v>
      </c>
      <c r="B120" s="1">
        <f t="shared" si="6"/>
        <v>3166.894343756237</v>
      </c>
      <c r="C120" s="1">
        <f t="shared" si="7"/>
        <v>2852.3499478597432</v>
      </c>
      <c r="D120" s="1">
        <f t="shared" si="8"/>
        <v>314.54439589649394</v>
      </c>
      <c r="E120" s="1">
        <f t="shared" si="9"/>
        <v>39086.902838339447</v>
      </c>
    </row>
    <row r="121" spans="1:5">
      <c r="A121">
        <f t="shared" si="5"/>
        <v>108</v>
      </c>
      <c r="B121" s="1">
        <f t="shared" si="6"/>
        <v>3166.894343756237</v>
      </c>
      <c r="C121" s="1">
        <f t="shared" si="7"/>
        <v>2873.7425724686914</v>
      </c>
      <c r="D121" s="1">
        <f t="shared" si="8"/>
        <v>293.15177128754584</v>
      </c>
      <c r="E121" s="1">
        <f t="shared" si="9"/>
        <v>36213.160265870756</v>
      </c>
    </row>
    <row r="122" spans="1:5">
      <c r="A122">
        <f t="shared" si="5"/>
        <v>109</v>
      </c>
      <c r="B122" s="1">
        <f t="shared" si="6"/>
        <v>3166.894343756237</v>
      </c>
      <c r="C122" s="1">
        <f t="shared" si="7"/>
        <v>2895.2956417622063</v>
      </c>
      <c r="D122" s="1">
        <f t="shared" si="8"/>
        <v>271.59870199403065</v>
      </c>
      <c r="E122" s="1">
        <f t="shared" si="9"/>
        <v>33317.864624108552</v>
      </c>
    </row>
    <row r="123" spans="1:5">
      <c r="A123">
        <f t="shared" si="5"/>
        <v>110</v>
      </c>
      <c r="B123" s="1">
        <f t="shared" si="6"/>
        <v>3166.894343756237</v>
      </c>
      <c r="C123" s="1">
        <f t="shared" si="7"/>
        <v>2917.0103590754229</v>
      </c>
      <c r="D123" s="1">
        <f t="shared" si="8"/>
        <v>249.88398468081414</v>
      </c>
      <c r="E123" s="1">
        <f t="shared" si="9"/>
        <v>30400.854265033129</v>
      </c>
    </row>
    <row r="124" spans="1:5">
      <c r="A124">
        <f t="shared" si="5"/>
        <v>111</v>
      </c>
      <c r="B124" s="1">
        <f t="shared" si="6"/>
        <v>3166.894343756237</v>
      </c>
      <c r="C124" s="1">
        <f t="shared" si="7"/>
        <v>2938.8879367684885</v>
      </c>
      <c r="D124" s="1">
        <f t="shared" si="8"/>
        <v>228.00640698774845</v>
      </c>
      <c r="E124" s="1">
        <f t="shared" si="9"/>
        <v>27461.96632826464</v>
      </c>
    </row>
    <row r="125" spans="1:5">
      <c r="A125">
        <f t="shared" si="5"/>
        <v>112</v>
      </c>
      <c r="B125" s="1">
        <f t="shared" si="6"/>
        <v>3166.894343756237</v>
      </c>
      <c r="C125" s="1">
        <f t="shared" si="7"/>
        <v>2960.9295962942524</v>
      </c>
      <c r="D125" s="1">
        <f t="shared" si="8"/>
        <v>205.96474746198479</v>
      </c>
      <c r="E125" s="1">
        <f t="shared" si="9"/>
        <v>24501.036731970387</v>
      </c>
    </row>
    <row r="126" spans="1:5">
      <c r="A126">
        <f t="shared" si="5"/>
        <v>113</v>
      </c>
      <c r="B126" s="1">
        <f t="shared" si="6"/>
        <v>3166.894343756237</v>
      </c>
      <c r="C126" s="1">
        <f t="shared" si="7"/>
        <v>2983.1365682664591</v>
      </c>
      <c r="D126" s="1">
        <f t="shared" si="8"/>
        <v>183.75777548977788</v>
      </c>
      <c r="E126" s="1">
        <f t="shared" si="9"/>
        <v>21517.900163703929</v>
      </c>
    </row>
    <row r="127" spans="1:5">
      <c r="A127">
        <f t="shared" si="5"/>
        <v>114</v>
      </c>
      <c r="B127" s="1">
        <f t="shared" si="6"/>
        <v>3166.894343756237</v>
      </c>
      <c r="C127" s="1">
        <f t="shared" si="7"/>
        <v>3005.5100925284578</v>
      </c>
      <c r="D127" s="1">
        <f t="shared" si="8"/>
        <v>161.38425122777946</v>
      </c>
      <c r="E127" s="1">
        <f t="shared" si="9"/>
        <v>18512.390071175472</v>
      </c>
    </row>
    <row r="128" spans="1:5">
      <c r="A128">
        <f t="shared" si="5"/>
        <v>115</v>
      </c>
      <c r="B128" s="1">
        <f t="shared" si="6"/>
        <v>3166.894343756237</v>
      </c>
      <c r="C128" s="1">
        <f t="shared" si="7"/>
        <v>3028.051418222421</v>
      </c>
      <c r="D128" s="1">
        <f t="shared" si="8"/>
        <v>138.84292553381604</v>
      </c>
      <c r="E128" s="1">
        <f t="shared" si="9"/>
        <v>15484.338652953051</v>
      </c>
    </row>
    <row r="129" spans="1:5">
      <c r="A129">
        <f t="shared" si="5"/>
        <v>116</v>
      </c>
      <c r="B129" s="1">
        <f t="shared" si="6"/>
        <v>3166.894343756237</v>
      </c>
      <c r="C129" s="1">
        <f t="shared" si="7"/>
        <v>3050.761803859089</v>
      </c>
      <c r="D129" s="1">
        <f t="shared" si="8"/>
        <v>116.13253989714788</v>
      </c>
      <c r="E129" s="1">
        <f t="shared" si="9"/>
        <v>12433.576849093963</v>
      </c>
    </row>
    <row r="130" spans="1:5">
      <c r="A130">
        <f t="shared" si="5"/>
        <v>117</v>
      </c>
      <c r="B130" s="1">
        <f t="shared" si="6"/>
        <v>3166.894343756237</v>
      </c>
      <c r="C130" s="1">
        <f t="shared" si="7"/>
        <v>3073.6425173880325</v>
      </c>
      <c r="D130" s="1">
        <f t="shared" si="8"/>
        <v>93.251826368204718</v>
      </c>
      <c r="E130" s="1">
        <f t="shared" si="9"/>
        <v>9359.9343317059302</v>
      </c>
    </row>
    <row r="131" spans="1:5">
      <c r="A131">
        <f t="shared" si="5"/>
        <v>118</v>
      </c>
      <c r="B131" s="1">
        <f t="shared" si="6"/>
        <v>3166.894343756237</v>
      </c>
      <c r="C131" s="1">
        <f t="shared" si="7"/>
        <v>3096.6948362684425</v>
      </c>
      <c r="D131" s="1">
        <f t="shared" si="8"/>
        <v>70.199507487794477</v>
      </c>
      <c r="E131" s="1">
        <f t="shared" si="9"/>
        <v>6263.2394954374877</v>
      </c>
    </row>
    <row r="132" spans="1:5">
      <c r="A132">
        <f t="shared" si="5"/>
        <v>119</v>
      </c>
      <c r="B132" s="1">
        <f t="shared" si="6"/>
        <v>3166.894343756237</v>
      </c>
      <c r="C132" s="1">
        <f t="shared" si="7"/>
        <v>3119.9200475404559</v>
      </c>
      <c r="D132" s="1">
        <f t="shared" si="8"/>
        <v>46.974296215781159</v>
      </c>
      <c r="E132" s="1">
        <f t="shared" si="9"/>
        <v>3143.3194478970318</v>
      </c>
    </row>
    <row r="133" spans="1:5">
      <c r="A133">
        <f t="shared" si="5"/>
        <v>120</v>
      </c>
      <c r="B133" s="1">
        <f t="shared" si="6"/>
        <v>3166.894343756237</v>
      </c>
      <c r="C133" s="1">
        <f t="shared" si="7"/>
        <v>3143.3194478970095</v>
      </c>
      <c r="D133" s="1">
        <f t="shared" si="8"/>
        <v>23.574895859227738</v>
      </c>
      <c r="E133" s="1">
        <f t="shared" si="9"/>
        <v>2.2282620193436742E-11</v>
      </c>
    </row>
    <row r="134" spans="1:5">
      <c r="A134" t="str">
        <f t="shared" si="5"/>
        <v/>
      </c>
      <c r="B134" s="1" t="str">
        <f t="shared" si="6"/>
        <v/>
      </c>
      <c r="C134" s="1" t="str">
        <f t="shared" si="7"/>
        <v/>
      </c>
      <c r="D134" s="1" t="str">
        <f t="shared" si="8"/>
        <v/>
      </c>
      <c r="E134" s="1" t="str">
        <f t="shared" si="9"/>
        <v/>
      </c>
    </row>
    <row r="135" spans="1:5">
      <c r="A135" t="str">
        <f t="shared" si="5"/>
        <v/>
      </c>
      <c r="B135" s="1" t="str">
        <f t="shared" si="6"/>
        <v/>
      </c>
      <c r="C135" s="1" t="str">
        <f t="shared" si="7"/>
        <v/>
      </c>
      <c r="D135" s="1" t="str">
        <f t="shared" si="8"/>
        <v/>
      </c>
      <c r="E135" s="1" t="str">
        <f t="shared" si="9"/>
        <v/>
      </c>
    </row>
    <row r="136" spans="1:5">
      <c r="A136" t="str">
        <f t="shared" si="5"/>
        <v/>
      </c>
      <c r="B136" s="1" t="str">
        <f t="shared" si="6"/>
        <v/>
      </c>
      <c r="C136" s="1" t="str">
        <f t="shared" si="7"/>
        <v/>
      </c>
      <c r="D136" s="1" t="str">
        <f t="shared" si="8"/>
        <v/>
      </c>
      <c r="E136" s="1" t="str">
        <f t="shared" si="9"/>
        <v/>
      </c>
    </row>
    <row r="137" spans="1:5">
      <c r="A137" t="str">
        <f t="shared" si="5"/>
        <v/>
      </c>
      <c r="B137" s="1" t="str">
        <f t="shared" si="6"/>
        <v/>
      </c>
      <c r="C137" s="1" t="str">
        <f t="shared" si="7"/>
        <v/>
      </c>
      <c r="D137" s="1" t="str">
        <f t="shared" si="8"/>
        <v/>
      </c>
      <c r="E137" s="1" t="str">
        <f t="shared" si="9"/>
        <v/>
      </c>
    </row>
    <row r="138" spans="1:5">
      <c r="A138" t="str">
        <f t="shared" si="5"/>
        <v/>
      </c>
      <c r="B138" s="1" t="str">
        <f t="shared" si="6"/>
        <v/>
      </c>
      <c r="C138" s="1" t="str">
        <f t="shared" si="7"/>
        <v/>
      </c>
      <c r="D138" s="1" t="str">
        <f t="shared" si="8"/>
        <v/>
      </c>
      <c r="E138" s="1" t="str">
        <f t="shared" si="9"/>
        <v/>
      </c>
    </row>
    <row r="139" spans="1:5">
      <c r="A139" t="str">
        <f t="shared" si="5"/>
        <v/>
      </c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1" t="str">
        <f t="shared" si="9"/>
        <v/>
      </c>
    </row>
    <row r="140" spans="1:5">
      <c r="A140" t="str">
        <f t="shared" si="5"/>
        <v/>
      </c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1" t="str">
        <f t="shared" si="9"/>
        <v/>
      </c>
    </row>
    <row r="141" spans="1:5">
      <c r="A141" t="str">
        <f t="shared" si="5"/>
        <v/>
      </c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1" t="str">
        <f t="shared" si="9"/>
        <v/>
      </c>
    </row>
    <row r="142" spans="1:5">
      <c r="A142" t="str">
        <f t="shared" si="5"/>
        <v/>
      </c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1" t="str">
        <f t="shared" si="9"/>
        <v/>
      </c>
    </row>
    <row r="143" spans="1:5">
      <c r="A143" t="str">
        <f t="shared" si="5"/>
        <v/>
      </c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1" t="str">
        <f t="shared" si="9"/>
        <v/>
      </c>
    </row>
    <row r="144" spans="1:5">
      <c r="A144" t="str">
        <f t="shared" ref="A144:A178" si="10">IF(($B$7*$B$8&gt;A143),IF(($B$7*$B$8)=A143,"",A143+1),"")</f>
        <v/>
      </c>
      <c r="B144" s="1" t="str">
        <f t="shared" ref="B144:B207" si="11">IF(A144="","",$B$14)</f>
        <v/>
      </c>
      <c r="C144" s="1" t="str">
        <f t="shared" ref="C144:C178" si="12">IF(A144="","",B144-D144)</f>
        <v/>
      </c>
      <c r="D144" s="1" t="str">
        <f t="shared" ref="D144:D178" si="13">IF(A144="","",(E143*($B$6/$B$8)))</f>
        <v/>
      </c>
      <c r="E144" s="1" t="str">
        <f t="shared" ref="E144:E178" si="14">IF(A144="","",E143-C144)</f>
        <v/>
      </c>
    </row>
    <row r="145" spans="1:5">
      <c r="A145" t="str">
        <f t="shared" si="10"/>
        <v/>
      </c>
      <c r="B145" s="1" t="str">
        <f t="shared" si="11"/>
        <v/>
      </c>
      <c r="C145" s="1" t="str">
        <f t="shared" si="12"/>
        <v/>
      </c>
      <c r="D145" s="1" t="str">
        <f t="shared" si="13"/>
        <v/>
      </c>
      <c r="E145" s="1" t="str">
        <f t="shared" si="14"/>
        <v/>
      </c>
    </row>
    <row r="146" spans="1:5">
      <c r="A146" t="str">
        <f t="shared" si="10"/>
        <v/>
      </c>
      <c r="B146" s="1" t="str">
        <f t="shared" si="11"/>
        <v/>
      </c>
      <c r="C146" s="1" t="str">
        <f t="shared" si="12"/>
        <v/>
      </c>
      <c r="D146" s="1" t="str">
        <f t="shared" si="13"/>
        <v/>
      </c>
      <c r="E146" s="1" t="str">
        <f t="shared" si="14"/>
        <v/>
      </c>
    </row>
    <row r="147" spans="1:5">
      <c r="A147" t="str">
        <f t="shared" si="10"/>
        <v/>
      </c>
      <c r="B147" s="1" t="str">
        <f t="shared" si="11"/>
        <v/>
      </c>
      <c r="C147" s="1" t="str">
        <f t="shared" si="12"/>
        <v/>
      </c>
      <c r="D147" s="1" t="str">
        <f t="shared" si="13"/>
        <v/>
      </c>
      <c r="E147" s="1" t="str">
        <f t="shared" si="14"/>
        <v/>
      </c>
    </row>
    <row r="148" spans="1:5">
      <c r="A148" t="str">
        <f t="shared" si="10"/>
        <v/>
      </c>
      <c r="B148" s="1" t="str">
        <f t="shared" si="11"/>
        <v/>
      </c>
      <c r="C148" s="1" t="str">
        <f t="shared" si="12"/>
        <v/>
      </c>
      <c r="D148" s="1" t="str">
        <f t="shared" si="13"/>
        <v/>
      </c>
      <c r="E148" s="1" t="str">
        <f t="shared" si="14"/>
        <v/>
      </c>
    </row>
    <row r="149" spans="1:5">
      <c r="A149" t="str">
        <f t="shared" si="10"/>
        <v/>
      </c>
      <c r="B149" s="1" t="str">
        <f t="shared" si="11"/>
        <v/>
      </c>
      <c r="C149" s="1" t="str">
        <f t="shared" si="12"/>
        <v/>
      </c>
      <c r="D149" s="1" t="str">
        <f t="shared" si="13"/>
        <v/>
      </c>
      <c r="E149" s="1" t="str">
        <f t="shared" si="14"/>
        <v/>
      </c>
    </row>
    <row r="150" spans="1:5">
      <c r="A150" t="str">
        <f t="shared" si="10"/>
        <v/>
      </c>
      <c r="B150" s="1" t="str">
        <f t="shared" si="11"/>
        <v/>
      </c>
      <c r="C150" s="1" t="str">
        <f t="shared" si="12"/>
        <v/>
      </c>
      <c r="D150" s="1" t="str">
        <f t="shared" si="13"/>
        <v/>
      </c>
      <c r="E150" s="1" t="str">
        <f t="shared" si="14"/>
        <v/>
      </c>
    </row>
    <row r="151" spans="1:5">
      <c r="A151" t="str">
        <f t="shared" si="10"/>
        <v/>
      </c>
      <c r="B151" s="1" t="str">
        <f t="shared" si="11"/>
        <v/>
      </c>
      <c r="C151" s="1" t="str">
        <f t="shared" si="12"/>
        <v/>
      </c>
      <c r="D151" s="1" t="str">
        <f t="shared" si="13"/>
        <v/>
      </c>
      <c r="E151" s="1" t="str">
        <f t="shared" si="14"/>
        <v/>
      </c>
    </row>
    <row r="152" spans="1:5">
      <c r="A152" t="str">
        <f t="shared" si="10"/>
        <v/>
      </c>
      <c r="B152" s="1" t="str">
        <f t="shared" si="11"/>
        <v/>
      </c>
      <c r="C152" s="1" t="str">
        <f t="shared" si="12"/>
        <v/>
      </c>
      <c r="D152" s="1" t="str">
        <f t="shared" si="13"/>
        <v/>
      </c>
      <c r="E152" s="1" t="str">
        <f t="shared" si="14"/>
        <v/>
      </c>
    </row>
    <row r="153" spans="1:5">
      <c r="A153" t="str">
        <f t="shared" si="10"/>
        <v/>
      </c>
      <c r="B153" s="1" t="str">
        <f t="shared" si="11"/>
        <v/>
      </c>
      <c r="C153" s="1" t="str">
        <f t="shared" si="12"/>
        <v/>
      </c>
      <c r="D153" s="1" t="str">
        <f t="shared" si="13"/>
        <v/>
      </c>
      <c r="E153" s="1" t="str">
        <f t="shared" si="14"/>
        <v/>
      </c>
    </row>
    <row r="154" spans="1:5">
      <c r="A154" t="str">
        <f t="shared" si="10"/>
        <v/>
      </c>
      <c r="B154" s="1" t="str">
        <f t="shared" si="11"/>
        <v/>
      </c>
      <c r="C154" s="1" t="str">
        <f t="shared" si="12"/>
        <v/>
      </c>
      <c r="D154" s="1" t="str">
        <f t="shared" si="13"/>
        <v/>
      </c>
      <c r="E154" s="1" t="str">
        <f t="shared" si="14"/>
        <v/>
      </c>
    </row>
    <row r="155" spans="1:5">
      <c r="A155" t="str">
        <f t="shared" si="10"/>
        <v/>
      </c>
      <c r="B155" s="1" t="str">
        <f t="shared" si="11"/>
        <v/>
      </c>
      <c r="C155" s="1" t="str">
        <f t="shared" si="12"/>
        <v/>
      </c>
      <c r="D155" s="1" t="str">
        <f t="shared" si="13"/>
        <v/>
      </c>
      <c r="E155" s="1" t="str">
        <f t="shared" si="14"/>
        <v/>
      </c>
    </row>
    <row r="156" spans="1:5">
      <c r="A156" t="str">
        <f t="shared" si="10"/>
        <v/>
      </c>
      <c r="B156" s="1" t="str">
        <f t="shared" si="11"/>
        <v/>
      </c>
      <c r="C156" s="1" t="str">
        <f t="shared" si="12"/>
        <v/>
      </c>
      <c r="D156" s="1" t="str">
        <f t="shared" si="13"/>
        <v/>
      </c>
      <c r="E156" s="1" t="str">
        <f t="shared" si="14"/>
        <v/>
      </c>
    </row>
    <row r="157" spans="1:5">
      <c r="A157" t="str">
        <f t="shared" si="10"/>
        <v/>
      </c>
      <c r="B157" s="1" t="str">
        <f t="shared" si="11"/>
        <v/>
      </c>
      <c r="C157" s="1" t="str">
        <f t="shared" si="12"/>
        <v/>
      </c>
      <c r="D157" s="1" t="str">
        <f t="shared" si="13"/>
        <v/>
      </c>
      <c r="E157" s="1" t="str">
        <f t="shared" si="14"/>
        <v/>
      </c>
    </row>
    <row r="158" spans="1:5">
      <c r="A158" t="str">
        <f t="shared" si="10"/>
        <v/>
      </c>
      <c r="B158" s="1" t="str">
        <f t="shared" si="11"/>
        <v/>
      </c>
      <c r="C158" s="1" t="str">
        <f t="shared" si="12"/>
        <v/>
      </c>
      <c r="D158" s="1" t="str">
        <f t="shared" si="13"/>
        <v/>
      </c>
      <c r="E158" s="1" t="str">
        <f t="shared" si="14"/>
        <v/>
      </c>
    </row>
    <row r="159" spans="1:5">
      <c r="A159" t="str">
        <f t="shared" si="10"/>
        <v/>
      </c>
      <c r="B159" s="1" t="str">
        <f t="shared" si="11"/>
        <v/>
      </c>
      <c r="C159" s="1" t="str">
        <f t="shared" si="12"/>
        <v/>
      </c>
      <c r="D159" s="1" t="str">
        <f t="shared" si="13"/>
        <v/>
      </c>
      <c r="E159" s="1" t="str">
        <f t="shared" si="14"/>
        <v/>
      </c>
    </row>
    <row r="160" spans="1:5">
      <c r="A160" t="str">
        <f t="shared" si="10"/>
        <v/>
      </c>
      <c r="B160" s="1" t="str">
        <f t="shared" si="11"/>
        <v/>
      </c>
      <c r="C160" s="1" t="str">
        <f t="shared" si="12"/>
        <v/>
      </c>
      <c r="D160" s="1" t="str">
        <f t="shared" si="13"/>
        <v/>
      </c>
      <c r="E160" s="1" t="str">
        <f t="shared" si="14"/>
        <v/>
      </c>
    </row>
    <row r="161" spans="1:5">
      <c r="A161" t="str">
        <f t="shared" si="10"/>
        <v/>
      </c>
      <c r="B161" s="1" t="str">
        <f t="shared" si="11"/>
        <v/>
      </c>
      <c r="C161" s="1" t="str">
        <f t="shared" si="12"/>
        <v/>
      </c>
      <c r="D161" s="1" t="str">
        <f t="shared" si="13"/>
        <v/>
      </c>
      <c r="E161" s="1" t="str">
        <f t="shared" si="14"/>
        <v/>
      </c>
    </row>
    <row r="162" spans="1:5">
      <c r="A162" t="str">
        <f t="shared" si="10"/>
        <v/>
      </c>
      <c r="B162" s="1" t="str">
        <f t="shared" si="11"/>
        <v/>
      </c>
      <c r="C162" s="1" t="str">
        <f t="shared" si="12"/>
        <v/>
      </c>
      <c r="D162" s="1" t="str">
        <f t="shared" si="13"/>
        <v/>
      </c>
      <c r="E162" s="1" t="str">
        <f t="shared" si="14"/>
        <v/>
      </c>
    </row>
    <row r="163" spans="1:5">
      <c r="A163" t="str">
        <f t="shared" si="10"/>
        <v/>
      </c>
      <c r="B163" s="1" t="str">
        <f t="shared" si="11"/>
        <v/>
      </c>
      <c r="C163" s="1" t="str">
        <f t="shared" si="12"/>
        <v/>
      </c>
      <c r="D163" s="1" t="str">
        <f t="shared" si="13"/>
        <v/>
      </c>
      <c r="E163" s="1" t="str">
        <f t="shared" si="14"/>
        <v/>
      </c>
    </row>
    <row r="164" spans="1:5">
      <c r="A164" t="str">
        <f t="shared" si="10"/>
        <v/>
      </c>
      <c r="B164" s="1" t="str">
        <f t="shared" si="11"/>
        <v/>
      </c>
      <c r="C164" s="1" t="str">
        <f t="shared" si="12"/>
        <v/>
      </c>
      <c r="D164" s="1" t="str">
        <f t="shared" si="13"/>
        <v/>
      </c>
      <c r="E164" s="1" t="str">
        <f t="shared" si="14"/>
        <v/>
      </c>
    </row>
    <row r="165" spans="1:5">
      <c r="A165" t="str">
        <f t="shared" si="10"/>
        <v/>
      </c>
      <c r="B165" s="1" t="str">
        <f t="shared" si="11"/>
        <v/>
      </c>
      <c r="C165" s="1" t="str">
        <f t="shared" si="12"/>
        <v/>
      </c>
      <c r="D165" s="1" t="str">
        <f t="shared" si="13"/>
        <v/>
      </c>
      <c r="E165" s="1" t="str">
        <f t="shared" si="14"/>
        <v/>
      </c>
    </row>
    <row r="166" spans="1:5">
      <c r="A166" t="str">
        <f t="shared" si="10"/>
        <v/>
      </c>
      <c r="B166" s="1" t="str">
        <f t="shared" si="11"/>
        <v/>
      </c>
      <c r="C166" s="1" t="str">
        <f t="shared" si="12"/>
        <v/>
      </c>
      <c r="D166" s="1" t="str">
        <f t="shared" si="13"/>
        <v/>
      </c>
      <c r="E166" s="1" t="str">
        <f t="shared" si="14"/>
        <v/>
      </c>
    </row>
    <row r="167" spans="1:5">
      <c r="A167" t="str">
        <f t="shared" si="10"/>
        <v/>
      </c>
      <c r="B167" s="1" t="str">
        <f t="shared" si="11"/>
        <v/>
      </c>
      <c r="C167" s="1" t="str">
        <f t="shared" si="12"/>
        <v/>
      </c>
      <c r="D167" s="1" t="str">
        <f t="shared" si="13"/>
        <v/>
      </c>
      <c r="E167" s="1" t="str">
        <f t="shared" si="14"/>
        <v/>
      </c>
    </row>
    <row r="168" spans="1:5">
      <c r="A168" t="str">
        <f t="shared" si="10"/>
        <v/>
      </c>
      <c r="B168" s="1" t="str">
        <f t="shared" si="11"/>
        <v/>
      </c>
      <c r="C168" s="1" t="str">
        <f t="shared" si="12"/>
        <v/>
      </c>
      <c r="D168" s="1" t="str">
        <f t="shared" si="13"/>
        <v/>
      </c>
      <c r="E168" s="1" t="str">
        <f t="shared" si="14"/>
        <v/>
      </c>
    </row>
    <row r="169" spans="1:5">
      <c r="A169" t="str">
        <f t="shared" si="10"/>
        <v/>
      </c>
      <c r="B169" s="1" t="str">
        <f t="shared" si="11"/>
        <v/>
      </c>
      <c r="C169" s="1" t="str">
        <f t="shared" si="12"/>
        <v/>
      </c>
      <c r="D169" s="1" t="str">
        <f t="shared" si="13"/>
        <v/>
      </c>
      <c r="E169" s="1" t="str">
        <f t="shared" si="14"/>
        <v/>
      </c>
    </row>
    <row r="170" spans="1:5">
      <c r="A170" t="str">
        <f t="shared" si="10"/>
        <v/>
      </c>
      <c r="B170" s="1" t="str">
        <f t="shared" si="11"/>
        <v/>
      </c>
      <c r="C170" s="1" t="str">
        <f t="shared" si="12"/>
        <v/>
      </c>
      <c r="D170" s="1" t="str">
        <f t="shared" si="13"/>
        <v/>
      </c>
      <c r="E170" s="1" t="str">
        <f t="shared" si="14"/>
        <v/>
      </c>
    </row>
    <row r="171" spans="1:5">
      <c r="A171" t="str">
        <f t="shared" si="10"/>
        <v/>
      </c>
      <c r="B171" s="1" t="str">
        <f t="shared" si="11"/>
        <v/>
      </c>
      <c r="C171" s="1" t="str">
        <f t="shared" si="12"/>
        <v/>
      </c>
      <c r="D171" s="1" t="str">
        <f t="shared" si="13"/>
        <v/>
      </c>
      <c r="E171" s="1" t="str">
        <f t="shared" si="14"/>
        <v/>
      </c>
    </row>
    <row r="172" spans="1:5">
      <c r="A172" t="str">
        <f t="shared" si="10"/>
        <v/>
      </c>
      <c r="B172" s="1" t="str">
        <f t="shared" si="11"/>
        <v/>
      </c>
      <c r="C172" s="1" t="str">
        <f t="shared" si="12"/>
        <v/>
      </c>
      <c r="D172" s="1" t="str">
        <f t="shared" si="13"/>
        <v/>
      </c>
      <c r="E172" s="1" t="str">
        <f t="shared" si="14"/>
        <v/>
      </c>
    </row>
    <row r="173" spans="1:5">
      <c r="A173" t="str">
        <f t="shared" si="10"/>
        <v/>
      </c>
      <c r="B173" s="1" t="str">
        <f t="shared" si="11"/>
        <v/>
      </c>
      <c r="C173" s="1" t="str">
        <f t="shared" si="12"/>
        <v/>
      </c>
      <c r="D173" s="1" t="str">
        <f t="shared" si="13"/>
        <v/>
      </c>
      <c r="E173" s="1" t="str">
        <f t="shared" si="14"/>
        <v/>
      </c>
    </row>
    <row r="174" spans="1:5">
      <c r="A174" t="str">
        <f t="shared" si="10"/>
        <v/>
      </c>
      <c r="B174" s="1" t="str">
        <f t="shared" si="11"/>
        <v/>
      </c>
      <c r="C174" s="1" t="str">
        <f t="shared" si="12"/>
        <v/>
      </c>
      <c r="D174" s="1" t="str">
        <f t="shared" si="13"/>
        <v/>
      </c>
      <c r="E174" s="1" t="str">
        <f t="shared" si="14"/>
        <v/>
      </c>
    </row>
    <row r="175" spans="1:5">
      <c r="A175" t="str">
        <f t="shared" si="10"/>
        <v/>
      </c>
      <c r="B175" s="1" t="str">
        <f t="shared" si="11"/>
        <v/>
      </c>
      <c r="C175" s="1" t="str">
        <f t="shared" si="12"/>
        <v/>
      </c>
      <c r="D175" s="1" t="str">
        <f t="shared" si="13"/>
        <v/>
      </c>
      <c r="E175" s="1" t="str">
        <f t="shared" si="14"/>
        <v/>
      </c>
    </row>
    <row r="176" spans="1:5">
      <c r="A176" t="str">
        <f t="shared" si="10"/>
        <v/>
      </c>
      <c r="B176" s="1" t="str">
        <f t="shared" si="11"/>
        <v/>
      </c>
      <c r="C176" s="1" t="str">
        <f t="shared" si="12"/>
        <v/>
      </c>
      <c r="D176" s="1" t="str">
        <f t="shared" si="13"/>
        <v/>
      </c>
      <c r="E176" s="1" t="str">
        <f t="shared" si="14"/>
        <v/>
      </c>
    </row>
    <row r="177" spans="1:5">
      <c r="A177" t="str">
        <f t="shared" si="10"/>
        <v/>
      </c>
      <c r="B177" s="1" t="str">
        <f t="shared" si="11"/>
        <v/>
      </c>
      <c r="C177" s="1" t="str">
        <f t="shared" si="12"/>
        <v/>
      </c>
      <c r="D177" s="1" t="str">
        <f t="shared" si="13"/>
        <v/>
      </c>
      <c r="E177" s="1" t="str">
        <f t="shared" si="14"/>
        <v/>
      </c>
    </row>
    <row r="178" spans="1:5">
      <c r="A178" t="str">
        <f t="shared" si="10"/>
        <v/>
      </c>
      <c r="B178" s="1" t="str">
        <f t="shared" si="11"/>
        <v/>
      </c>
      <c r="C178" s="1" t="str">
        <f t="shared" si="12"/>
        <v/>
      </c>
      <c r="D178" s="1" t="str">
        <f t="shared" si="13"/>
        <v/>
      </c>
      <c r="E178" s="1" t="str">
        <f t="shared" si="14"/>
        <v/>
      </c>
    </row>
    <row r="179" spans="1:5">
      <c r="A179" t="str">
        <f t="shared" ref="A179:A242" si="15">IF(($B$7*$B$8&gt;A178),IF(($B$7*$B$8)=A178,"",A178+1),"")</f>
        <v/>
      </c>
      <c r="B179" s="1" t="str">
        <f t="shared" si="11"/>
        <v/>
      </c>
      <c r="C179" s="1" t="str">
        <f t="shared" ref="C179:C242" si="16">IF(A179="","",B179-D179)</f>
        <v/>
      </c>
      <c r="D179" s="1" t="str">
        <f t="shared" ref="D179:D242" si="17">IF(A179="","",(E178*($B$6/$B$8)))</f>
        <v/>
      </c>
      <c r="E179" s="1" t="str">
        <f t="shared" ref="E179:E242" si="18">IF(A179="","",E178-C179)</f>
        <v/>
      </c>
    </row>
    <row r="180" spans="1:5">
      <c r="A180" t="str">
        <f t="shared" si="15"/>
        <v/>
      </c>
      <c r="B180" s="1" t="str">
        <f t="shared" si="11"/>
        <v/>
      </c>
      <c r="C180" s="1" t="str">
        <f t="shared" si="16"/>
        <v/>
      </c>
      <c r="D180" s="1" t="str">
        <f t="shared" si="17"/>
        <v/>
      </c>
      <c r="E180" s="1" t="str">
        <f t="shared" si="18"/>
        <v/>
      </c>
    </row>
    <row r="181" spans="1:5">
      <c r="A181" t="str">
        <f t="shared" si="15"/>
        <v/>
      </c>
      <c r="B181" s="1" t="str">
        <f t="shared" si="11"/>
        <v/>
      </c>
      <c r="C181" s="1" t="str">
        <f t="shared" si="16"/>
        <v/>
      </c>
      <c r="D181" s="1" t="str">
        <f t="shared" si="17"/>
        <v/>
      </c>
      <c r="E181" s="1" t="str">
        <f t="shared" si="18"/>
        <v/>
      </c>
    </row>
    <row r="182" spans="1:5">
      <c r="A182" t="str">
        <f t="shared" si="15"/>
        <v/>
      </c>
      <c r="B182" s="1" t="str">
        <f t="shared" si="11"/>
        <v/>
      </c>
      <c r="C182" s="1" t="str">
        <f t="shared" si="16"/>
        <v/>
      </c>
      <c r="D182" s="1" t="str">
        <f t="shared" si="17"/>
        <v/>
      </c>
      <c r="E182" s="1" t="str">
        <f t="shared" si="18"/>
        <v/>
      </c>
    </row>
    <row r="183" spans="1:5">
      <c r="A183" t="str">
        <f t="shared" si="15"/>
        <v/>
      </c>
      <c r="B183" s="1" t="str">
        <f t="shared" si="11"/>
        <v/>
      </c>
      <c r="C183" s="1" t="str">
        <f t="shared" si="16"/>
        <v/>
      </c>
      <c r="D183" s="1" t="str">
        <f t="shared" si="17"/>
        <v/>
      </c>
      <c r="E183" s="1" t="str">
        <f t="shared" si="18"/>
        <v/>
      </c>
    </row>
    <row r="184" spans="1:5">
      <c r="A184" t="str">
        <f t="shared" si="15"/>
        <v/>
      </c>
      <c r="B184" s="1" t="str">
        <f t="shared" si="11"/>
        <v/>
      </c>
      <c r="C184" s="1" t="str">
        <f t="shared" si="16"/>
        <v/>
      </c>
      <c r="D184" s="1" t="str">
        <f t="shared" si="17"/>
        <v/>
      </c>
      <c r="E184" s="1" t="str">
        <f t="shared" si="18"/>
        <v/>
      </c>
    </row>
    <row r="185" spans="1:5">
      <c r="A185" t="str">
        <f t="shared" si="15"/>
        <v/>
      </c>
      <c r="B185" s="1" t="str">
        <f t="shared" si="11"/>
        <v/>
      </c>
      <c r="C185" s="1" t="str">
        <f t="shared" si="16"/>
        <v/>
      </c>
      <c r="D185" s="1" t="str">
        <f t="shared" si="17"/>
        <v/>
      </c>
      <c r="E185" s="1" t="str">
        <f t="shared" si="18"/>
        <v/>
      </c>
    </row>
    <row r="186" spans="1:5">
      <c r="A186" t="str">
        <f t="shared" si="15"/>
        <v/>
      </c>
      <c r="B186" s="1" t="str">
        <f t="shared" si="11"/>
        <v/>
      </c>
      <c r="C186" s="1" t="str">
        <f t="shared" si="16"/>
        <v/>
      </c>
      <c r="D186" s="1" t="str">
        <f t="shared" si="17"/>
        <v/>
      </c>
      <c r="E186" s="1" t="str">
        <f t="shared" si="18"/>
        <v/>
      </c>
    </row>
    <row r="187" spans="1:5">
      <c r="A187" t="str">
        <f t="shared" si="15"/>
        <v/>
      </c>
      <c r="B187" s="1" t="str">
        <f t="shared" si="11"/>
        <v/>
      </c>
      <c r="C187" s="1" t="str">
        <f t="shared" si="16"/>
        <v/>
      </c>
      <c r="D187" s="1" t="str">
        <f t="shared" si="17"/>
        <v/>
      </c>
      <c r="E187" s="1" t="str">
        <f t="shared" si="18"/>
        <v/>
      </c>
    </row>
    <row r="188" spans="1:5">
      <c r="A188" t="str">
        <f t="shared" si="15"/>
        <v/>
      </c>
      <c r="B188" s="1" t="str">
        <f t="shared" si="11"/>
        <v/>
      </c>
      <c r="C188" s="1" t="str">
        <f t="shared" si="16"/>
        <v/>
      </c>
      <c r="D188" s="1" t="str">
        <f t="shared" si="17"/>
        <v/>
      </c>
      <c r="E188" s="1" t="str">
        <f t="shared" si="18"/>
        <v/>
      </c>
    </row>
    <row r="189" spans="1:5">
      <c r="A189" t="str">
        <f t="shared" si="15"/>
        <v/>
      </c>
      <c r="B189" s="1" t="str">
        <f t="shared" si="11"/>
        <v/>
      </c>
      <c r="C189" s="1" t="str">
        <f t="shared" si="16"/>
        <v/>
      </c>
      <c r="D189" s="1" t="str">
        <f t="shared" si="17"/>
        <v/>
      </c>
      <c r="E189" s="1" t="str">
        <f t="shared" si="18"/>
        <v/>
      </c>
    </row>
    <row r="190" spans="1:5">
      <c r="A190" t="str">
        <f t="shared" si="15"/>
        <v/>
      </c>
      <c r="B190" s="1" t="str">
        <f t="shared" si="11"/>
        <v/>
      </c>
      <c r="C190" s="1" t="str">
        <f t="shared" si="16"/>
        <v/>
      </c>
      <c r="D190" s="1" t="str">
        <f t="shared" si="17"/>
        <v/>
      </c>
      <c r="E190" s="1" t="str">
        <f t="shared" si="18"/>
        <v/>
      </c>
    </row>
    <row r="191" spans="1:5">
      <c r="A191" t="str">
        <f t="shared" si="15"/>
        <v/>
      </c>
      <c r="B191" s="1" t="str">
        <f t="shared" si="11"/>
        <v/>
      </c>
      <c r="C191" s="1" t="str">
        <f t="shared" si="16"/>
        <v/>
      </c>
      <c r="D191" s="1" t="str">
        <f t="shared" si="17"/>
        <v/>
      </c>
      <c r="E191" s="1" t="str">
        <f t="shared" si="18"/>
        <v/>
      </c>
    </row>
    <row r="192" spans="1:5">
      <c r="A192" t="str">
        <f t="shared" si="15"/>
        <v/>
      </c>
      <c r="B192" s="1" t="str">
        <f t="shared" si="11"/>
        <v/>
      </c>
      <c r="C192" s="1" t="str">
        <f t="shared" si="16"/>
        <v/>
      </c>
      <c r="D192" s="1" t="str">
        <f t="shared" si="17"/>
        <v/>
      </c>
      <c r="E192" s="1" t="str">
        <f t="shared" si="18"/>
        <v/>
      </c>
    </row>
    <row r="193" spans="1:5">
      <c r="A193" t="str">
        <f t="shared" si="15"/>
        <v/>
      </c>
      <c r="B193" s="1" t="str">
        <f t="shared" si="11"/>
        <v/>
      </c>
      <c r="C193" s="1" t="str">
        <f t="shared" si="16"/>
        <v/>
      </c>
      <c r="D193" s="1" t="str">
        <f t="shared" si="17"/>
        <v/>
      </c>
      <c r="E193" s="1" t="str">
        <f t="shared" si="18"/>
        <v/>
      </c>
    </row>
    <row r="194" spans="1:5">
      <c r="A194" t="str">
        <f t="shared" si="15"/>
        <v/>
      </c>
      <c r="B194" s="1" t="str">
        <f t="shared" si="11"/>
        <v/>
      </c>
      <c r="C194" s="1" t="str">
        <f t="shared" si="16"/>
        <v/>
      </c>
      <c r="D194" s="1" t="str">
        <f t="shared" si="17"/>
        <v/>
      </c>
      <c r="E194" s="1" t="str">
        <f t="shared" si="18"/>
        <v/>
      </c>
    </row>
    <row r="195" spans="1:5">
      <c r="A195" t="str">
        <f t="shared" si="15"/>
        <v/>
      </c>
      <c r="B195" s="1" t="str">
        <f t="shared" si="11"/>
        <v/>
      </c>
      <c r="C195" s="1" t="str">
        <f t="shared" si="16"/>
        <v/>
      </c>
      <c r="D195" s="1" t="str">
        <f t="shared" si="17"/>
        <v/>
      </c>
      <c r="E195" s="1" t="str">
        <f t="shared" si="18"/>
        <v/>
      </c>
    </row>
    <row r="196" spans="1:5">
      <c r="A196" t="str">
        <f t="shared" si="15"/>
        <v/>
      </c>
      <c r="B196" s="1" t="str">
        <f t="shared" si="11"/>
        <v/>
      </c>
      <c r="C196" s="1" t="str">
        <f t="shared" si="16"/>
        <v/>
      </c>
      <c r="D196" s="1" t="str">
        <f t="shared" si="17"/>
        <v/>
      </c>
      <c r="E196" s="1" t="str">
        <f t="shared" si="18"/>
        <v/>
      </c>
    </row>
    <row r="197" spans="1:5">
      <c r="A197" t="str">
        <f t="shared" si="15"/>
        <v/>
      </c>
      <c r="B197" s="1" t="str">
        <f t="shared" si="11"/>
        <v/>
      </c>
      <c r="C197" s="1" t="str">
        <f t="shared" si="16"/>
        <v/>
      </c>
      <c r="D197" s="1" t="str">
        <f t="shared" si="17"/>
        <v/>
      </c>
      <c r="E197" s="1" t="str">
        <f t="shared" si="18"/>
        <v/>
      </c>
    </row>
    <row r="198" spans="1:5">
      <c r="A198" t="str">
        <f t="shared" si="15"/>
        <v/>
      </c>
      <c r="B198" s="1" t="str">
        <f t="shared" si="11"/>
        <v/>
      </c>
      <c r="C198" s="1" t="str">
        <f t="shared" si="16"/>
        <v/>
      </c>
      <c r="D198" s="1" t="str">
        <f t="shared" si="17"/>
        <v/>
      </c>
      <c r="E198" s="1" t="str">
        <f t="shared" si="18"/>
        <v/>
      </c>
    </row>
    <row r="199" spans="1:5">
      <c r="A199" t="str">
        <f t="shared" si="15"/>
        <v/>
      </c>
      <c r="B199" s="1" t="str">
        <f t="shared" si="11"/>
        <v/>
      </c>
      <c r="C199" s="1" t="str">
        <f t="shared" si="16"/>
        <v/>
      </c>
      <c r="D199" s="1" t="str">
        <f t="shared" si="17"/>
        <v/>
      </c>
      <c r="E199" s="1" t="str">
        <f t="shared" si="18"/>
        <v/>
      </c>
    </row>
    <row r="200" spans="1:5">
      <c r="A200" t="str">
        <f t="shared" si="15"/>
        <v/>
      </c>
      <c r="B200" s="1" t="str">
        <f t="shared" si="11"/>
        <v/>
      </c>
      <c r="C200" s="1" t="str">
        <f t="shared" si="16"/>
        <v/>
      </c>
      <c r="D200" s="1" t="str">
        <f t="shared" si="17"/>
        <v/>
      </c>
      <c r="E200" s="1" t="str">
        <f t="shared" si="18"/>
        <v/>
      </c>
    </row>
    <row r="201" spans="1:5">
      <c r="A201" t="str">
        <f t="shared" si="15"/>
        <v/>
      </c>
      <c r="B201" s="1" t="str">
        <f t="shared" si="11"/>
        <v/>
      </c>
      <c r="C201" s="1" t="str">
        <f t="shared" si="16"/>
        <v/>
      </c>
      <c r="D201" s="1" t="str">
        <f t="shared" si="17"/>
        <v/>
      </c>
      <c r="E201" s="1" t="str">
        <f t="shared" si="18"/>
        <v/>
      </c>
    </row>
    <row r="202" spans="1:5">
      <c r="A202" t="str">
        <f t="shared" si="15"/>
        <v/>
      </c>
      <c r="B202" s="1" t="str">
        <f t="shared" si="11"/>
        <v/>
      </c>
      <c r="C202" s="1" t="str">
        <f t="shared" si="16"/>
        <v/>
      </c>
      <c r="D202" s="1" t="str">
        <f t="shared" si="17"/>
        <v/>
      </c>
      <c r="E202" s="1" t="str">
        <f t="shared" si="18"/>
        <v/>
      </c>
    </row>
    <row r="203" spans="1:5">
      <c r="A203" t="str">
        <f t="shared" si="15"/>
        <v/>
      </c>
      <c r="B203" s="1" t="str">
        <f t="shared" si="11"/>
        <v/>
      </c>
      <c r="C203" s="1" t="str">
        <f t="shared" si="16"/>
        <v/>
      </c>
      <c r="D203" s="1" t="str">
        <f t="shared" si="17"/>
        <v/>
      </c>
      <c r="E203" s="1" t="str">
        <f t="shared" si="18"/>
        <v/>
      </c>
    </row>
    <row r="204" spans="1:5">
      <c r="A204" t="str">
        <f t="shared" si="15"/>
        <v/>
      </c>
      <c r="B204" s="1" t="str">
        <f t="shared" si="11"/>
        <v/>
      </c>
      <c r="C204" s="1" t="str">
        <f t="shared" si="16"/>
        <v/>
      </c>
      <c r="D204" s="1" t="str">
        <f t="shared" si="17"/>
        <v/>
      </c>
      <c r="E204" s="1" t="str">
        <f t="shared" si="18"/>
        <v/>
      </c>
    </row>
    <row r="205" spans="1:5">
      <c r="A205" t="str">
        <f t="shared" si="15"/>
        <v/>
      </c>
      <c r="B205" s="1" t="str">
        <f t="shared" si="11"/>
        <v/>
      </c>
      <c r="C205" s="1" t="str">
        <f t="shared" si="16"/>
        <v/>
      </c>
      <c r="D205" s="1" t="str">
        <f t="shared" si="17"/>
        <v/>
      </c>
      <c r="E205" s="1" t="str">
        <f t="shared" si="18"/>
        <v/>
      </c>
    </row>
    <row r="206" spans="1:5">
      <c r="A206" t="str">
        <f t="shared" si="15"/>
        <v/>
      </c>
      <c r="B206" s="1" t="str">
        <f t="shared" si="11"/>
        <v/>
      </c>
      <c r="C206" s="1" t="str">
        <f t="shared" si="16"/>
        <v/>
      </c>
      <c r="D206" s="1" t="str">
        <f t="shared" si="17"/>
        <v/>
      </c>
      <c r="E206" s="1" t="str">
        <f t="shared" si="18"/>
        <v/>
      </c>
    </row>
    <row r="207" spans="1:5">
      <c r="A207" t="str">
        <f t="shared" si="15"/>
        <v/>
      </c>
      <c r="B207" s="1" t="str">
        <f t="shared" si="11"/>
        <v/>
      </c>
      <c r="C207" s="1" t="str">
        <f t="shared" si="16"/>
        <v/>
      </c>
      <c r="D207" s="1" t="str">
        <f t="shared" si="17"/>
        <v/>
      </c>
      <c r="E207" s="1" t="str">
        <f t="shared" si="18"/>
        <v/>
      </c>
    </row>
    <row r="208" spans="1:5">
      <c r="A208" t="str">
        <f t="shared" si="15"/>
        <v/>
      </c>
      <c r="B208" s="1" t="str">
        <f t="shared" ref="B208:B271" si="19">IF(A208="","",$B$14)</f>
        <v/>
      </c>
      <c r="C208" s="1" t="str">
        <f t="shared" si="16"/>
        <v/>
      </c>
      <c r="D208" s="1" t="str">
        <f t="shared" si="17"/>
        <v/>
      </c>
      <c r="E208" s="1" t="str">
        <f t="shared" si="18"/>
        <v/>
      </c>
    </row>
    <row r="209" spans="1:5">
      <c r="A209" t="str">
        <f t="shared" si="15"/>
        <v/>
      </c>
      <c r="B209" s="1" t="str">
        <f t="shared" si="19"/>
        <v/>
      </c>
      <c r="C209" s="1" t="str">
        <f t="shared" si="16"/>
        <v/>
      </c>
      <c r="D209" s="1" t="str">
        <f t="shared" si="17"/>
        <v/>
      </c>
      <c r="E209" s="1" t="str">
        <f t="shared" si="18"/>
        <v/>
      </c>
    </row>
    <row r="210" spans="1:5">
      <c r="A210" t="str">
        <f t="shared" si="15"/>
        <v/>
      </c>
      <c r="B210" s="1" t="str">
        <f t="shared" si="19"/>
        <v/>
      </c>
      <c r="C210" s="1" t="str">
        <f t="shared" si="16"/>
        <v/>
      </c>
      <c r="D210" s="1" t="str">
        <f t="shared" si="17"/>
        <v/>
      </c>
      <c r="E210" s="1" t="str">
        <f t="shared" si="18"/>
        <v/>
      </c>
    </row>
    <row r="211" spans="1:5">
      <c r="A211" t="str">
        <f t="shared" si="15"/>
        <v/>
      </c>
      <c r="B211" s="1" t="str">
        <f t="shared" si="19"/>
        <v/>
      </c>
      <c r="C211" s="1" t="str">
        <f t="shared" si="16"/>
        <v/>
      </c>
      <c r="D211" s="1" t="str">
        <f t="shared" si="17"/>
        <v/>
      </c>
      <c r="E211" s="1" t="str">
        <f t="shared" si="18"/>
        <v/>
      </c>
    </row>
    <row r="212" spans="1:5">
      <c r="A212" t="str">
        <f t="shared" si="15"/>
        <v/>
      </c>
      <c r="B212" s="1" t="str">
        <f t="shared" si="19"/>
        <v/>
      </c>
      <c r="C212" s="1" t="str">
        <f t="shared" si="16"/>
        <v/>
      </c>
      <c r="D212" s="1" t="str">
        <f t="shared" si="17"/>
        <v/>
      </c>
      <c r="E212" s="1" t="str">
        <f t="shared" si="18"/>
        <v/>
      </c>
    </row>
    <row r="213" spans="1:5">
      <c r="A213" t="str">
        <f t="shared" si="15"/>
        <v/>
      </c>
      <c r="B213" s="1" t="str">
        <f t="shared" si="19"/>
        <v/>
      </c>
      <c r="C213" s="1" t="str">
        <f t="shared" si="16"/>
        <v/>
      </c>
      <c r="D213" s="1" t="str">
        <f t="shared" si="17"/>
        <v/>
      </c>
      <c r="E213" s="1" t="str">
        <f t="shared" si="18"/>
        <v/>
      </c>
    </row>
    <row r="214" spans="1:5">
      <c r="A214" t="str">
        <f t="shared" si="15"/>
        <v/>
      </c>
      <c r="B214" s="1" t="str">
        <f t="shared" si="19"/>
        <v/>
      </c>
      <c r="C214" s="1" t="str">
        <f t="shared" si="16"/>
        <v/>
      </c>
      <c r="D214" s="1" t="str">
        <f t="shared" si="17"/>
        <v/>
      </c>
      <c r="E214" s="1" t="str">
        <f t="shared" si="18"/>
        <v/>
      </c>
    </row>
    <row r="215" spans="1:5">
      <c r="A215" t="str">
        <f t="shared" si="15"/>
        <v/>
      </c>
      <c r="B215" s="1" t="str">
        <f t="shared" si="19"/>
        <v/>
      </c>
      <c r="C215" s="1" t="str">
        <f t="shared" si="16"/>
        <v/>
      </c>
      <c r="D215" s="1" t="str">
        <f t="shared" si="17"/>
        <v/>
      </c>
      <c r="E215" s="1" t="str">
        <f t="shared" si="18"/>
        <v/>
      </c>
    </row>
    <row r="216" spans="1:5">
      <c r="A216" t="str">
        <f t="shared" si="15"/>
        <v/>
      </c>
      <c r="B216" s="1" t="str">
        <f t="shared" si="19"/>
        <v/>
      </c>
      <c r="C216" s="1" t="str">
        <f t="shared" si="16"/>
        <v/>
      </c>
      <c r="D216" s="1" t="str">
        <f t="shared" si="17"/>
        <v/>
      </c>
      <c r="E216" s="1" t="str">
        <f t="shared" si="18"/>
        <v/>
      </c>
    </row>
    <row r="217" spans="1:5">
      <c r="A217" t="str">
        <f t="shared" si="15"/>
        <v/>
      </c>
      <c r="B217" s="1" t="str">
        <f t="shared" si="19"/>
        <v/>
      </c>
      <c r="C217" s="1" t="str">
        <f t="shared" si="16"/>
        <v/>
      </c>
      <c r="D217" s="1" t="str">
        <f t="shared" si="17"/>
        <v/>
      </c>
      <c r="E217" s="1" t="str">
        <f t="shared" si="18"/>
        <v/>
      </c>
    </row>
    <row r="218" spans="1:5">
      <c r="A218" t="str">
        <f t="shared" si="15"/>
        <v/>
      </c>
      <c r="B218" s="1" t="str">
        <f t="shared" si="19"/>
        <v/>
      </c>
      <c r="C218" s="1" t="str">
        <f t="shared" si="16"/>
        <v/>
      </c>
      <c r="D218" s="1" t="str">
        <f t="shared" si="17"/>
        <v/>
      </c>
      <c r="E218" s="1" t="str">
        <f t="shared" si="18"/>
        <v/>
      </c>
    </row>
    <row r="219" spans="1:5">
      <c r="A219" t="str">
        <f t="shared" si="15"/>
        <v/>
      </c>
      <c r="B219" s="1" t="str">
        <f t="shared" si="19"/>
        <v/>
      </c>
      <c r="C219" s="1" t="str">
        <f t="shared" si="16"/>
        <v/>
      </c>
      <c r="D219" s="1" t="str">
        <f t="shared" si="17"/>
        <v/>
      </c>
      <c r="E219" s="1" t="str">
        <f t="shared" si="18"/>
        <v/>
      </c>
    </row>
    <row r="220" spans="1:5">
      <c r="A220" t="str">
        <f t="shared" si="15"/>
        <v/>
      </c>
      <c r="B220" s="1" t="str">
        <f t="shared" si="19"/>
        <v/>
      </c>
      <c r="C220" s="1" t="str">
        <f t="shared" si="16"/>
        <v/>
      </c>
      <c r="D220" s="1" t="str">
        <f t="shared" si="17"/>
        <v/>
      </c>
      <c r="E220" s="1" t="str">
        <f t="shared" si="18"/>
        <v/>
      </c>
    </row>
    <row r="221" spans="1:5">
      <c r="A221" t="str">
        <f t="shared" si="15"/>
        <v/>
      </c>
      <c r="B221" s="1" t="str">
        <f t="shared" si="19"/>
        <v/>
      </c>
      <c r="C221" s="1" t="str">
        <f t="shared" si="16"/>
        <v/>
      </c>
      <c r="D221" s="1" t="str">
        <f t="shared" si="17"/>
        <v/>
      </c>
      <c r="E221" s="1" t="str">
        <f t="shared" si="18"/>
        <v/>
      </c>
    </row>
    <row r="222" spans="1:5">
      <c r="A222" t="str">
        <f t="shared" si="15"/>
        <v/>
      </c>
      <c r="B222" s="1" t="str">
        <f t="shared" si="19"/>
        <v/>
      </c>
      <c r="C222" s="1" t="str">
        <f t="shared" si="16"/>
        <v/>
      </c>
      <c r="D222" s="1" t="str">
        <f t="shared" si="17"/>
        <v/>
      </c>
      <c r="E222" s="1" t="str">
        <f t="shared" si="18"/>
        <v/>
      </c>
    </row>
    <row r="223" spans="1:5">
      <c r="A223" t="str">
        <f t="shared" si="15"/>
        <v/>
      </c>
      <c r="B223" s="1" t="str">
        <f t="shared" si="19"/>
        <v/>
      </c>
      <c r="C223" s="1" t="str">
        <f t="shared" si="16"/>
        <v/>
      </c>
      <c r="D223" s="1" t="str">
        <f t="shared" si="17"/>
        <v/>
      </c>
      <c r="E223" s="1" t="str">
        <f t="shared" si="18"/>
        <v/>
      </c>
    </row>
    <row r="224" spans="1:5">
      <c r="A224" t="str">
        <f t="shared" si="15"/>
        <v/>
      </c>
      <c r="B224" s="1" t="str">
        <f t="shared" si="19"/>
        <v/>
      </c>
      <c r="C224" s="1" t="str">
        <f t="shared" si="16"/>
        <v/>
      </c>
      <c r="D224" s="1" t="str">
        <f t="shared" si="17"/>
        <v/>
      </c>
      <c r="E224" s="1" t="str">
        <f t="shared" si="18"/>
        <v/>
      </c>
    </row>
    <row r="225" spans="1:5">
      <c r="A225" t="str">
        <f t="shared" si="15"/>
        <v/>
      </c>
      <c r="B225" s="1" t="str">
        <f t="shared" si="19"/>
        <v/>
      </c>
      <c r="C225" s="1" t="str">
        <f t="shared" si="16"/>
        <v/>
      </c>
      <c r="D225" s="1" t="str">
        <f t="shared" si="17"/>
        <v/>
      </c>
      <c r="E225" s="1" t="str">
        <f t="shared" si="18"/>
        <v/>
      </c>
    </row>
    <row r="226" spans="1:5">
      <c r="A226" t="str">
        <f t="shared" si="15"/>
        <v/>
      </c>
      <c r="B226" s="1" t="str">
        <f t="shared" si="19"/>
        <v/>
      </c>
      <c r="C226" s="1" t="str">
        <f t="shared" si="16"/>
        <v/>
      </c>
      <c r="D226" s="1" t="str">
        <f t="shared" si="17"/>
        <v/>
      </c>
      <c r="E226" s="1" t="str">
        <f t="shared" si="18"/>
        <v/>
      </c>
    </row>
    <row r="227" spans="1:5">
      <c r="A227" t="str">
        <f t="shared" si="15"/>
        <v/>
      </c>
      <c r="B227" s="1" t="str">
        <f t="shared" si="19"/>
        <v/>
      </c>
      <c r="C227" s="1" t="str">
        <f t="shared" si="16"/>
        <v/>
      </c>
      <c r="D227" s="1" t="str">
        <f t="shared" si="17"/>
        <v/>
      </c>
      <c r="E227" s="1" t="str">
        <f t="shared" si="18"/>
        <v/>
      </c>
    </row>
    <row r="228" spans="1:5">
      <c r="A228" t="str">
        <f t="shared" si="15"/>
        <v/>
      </c>
      <c r="B228" s="1" t="str">
        <f t="shared" si="19"/>
        <v/>
      </c>
      <c r="C228" s="1" t="str">
        <f t="shared" si="16"/>
        <v/>
      </c>
      <c r="D228" s="1" t="str">
        <f t="shared" si="17"/>
        <v/>
      </c>
      <c r="E228" s="1" t="str">
        <f t="shared" si="18"/>
        <v/>
      </c>
    </row>
    <row r="229" spans="1:5">
      <c r="A229" t="str">
        <f t="shared" si="15"/>
        <v/>
      </c>
      <c r="B229" s="1" t="str">
        <f t="shared" si="19"/>
        <v/>
      </c>
      <c r="C229" s="1" t="str">
        <f t="shared" si="16"/>
        <v/>
      </c>
      <c r="D229" s="1" t="str">
        <f t="shared" si="17"/>
        <v/>
      </c>
      <c r="E229" s="1" t="str">
        <f t="shared" si="18"/>
        <v/>
      </c>
    </row>
    <row r="230" spans="1:5">
      <c r="A230" t="str">
        <f t="shared" si="15"/>
        <v/>
      </c>
      <c r="B230" s="1" t="str">
        <f t="shared" si="19"/>
        <v/>
      </c>
      <c r="C230" s="1" t="str">
        <f t="shared" si="16"/>
        <v/>
      </c>
      <c r="D230" s="1" t="str">
        <f t="shared" si="17"/>
        <v/>
      </c>
      <c r="E230" s="1" t="str">
        <f t="shared" si="18"/>
        <v/>
      </c>
    </row>
    <row r="231" spans="1:5">
      <c r="A231" t="str">
        <f t="shared" si="15"/>
        <v/>
      </c>
      <c r="B231" s="1" t="str">
        <f t="shared" si="19"/>
        <v/>
      </c>
      <c r="C231" s="1" t="str">
        <f t="shared" si="16"/>
        <v/>
      </c>
      <c r="D231" s="1" t="str">
        <f t="shared" si="17"/>
        <v/>
      </c>
      <c r="E231" s="1" t="str">
        <f t="shared" si="18"/>
        <v/>
      </c>
    </row>
    <row r="232" spans="1:5">
      <c r="A232" t="str">
        <f t="shared" si="15"/>
        <v/>
      </c>
      <c r="B232" s="1" t="str">
        <f t="shared" si="19"/>
        <v/>
      </c>
      <c r="C232" s="1" t="str">
        <f t="shared" si="16"/>
        <v/>
      </c>
      <c r="D232" s="1" t="str">
        <f t="shared" si="17"/>
        <v/>
      </c>
      <c r="E232" s="1" t="str">
        <f t="shared" si="18"/>
        <v/>
      </c>
    </row>
    <row r="233" spans="1:5">
      <c r="A233" t="str">
        <f t="shared" si="15"/>
        <v/>
      </c>
      <c r="B233" s="1" t="str">
        <f t="shared" si="19"/>
        <v/>
      </c>
      <c r="C233" s="1" t="str">
        <f t="shared" si="16"/>
        <v/>
      </c>
      <c r="D233" s="1" t="str">
        <f t="shared" si="17"/>
        <v/>
      </c>
      <c r="E233" s="1" t="str">
        <f t="shared" si="18"/>
        <v/>
      </c>
    </row>
    <row r="234" spans="1:5">
      <c r="A234" t="str">
        <f t="shared" si="15"/>
        <v/>
      </c>
      <c r="B234" s="1" t="str">
        <f t="shared" si="19"/>
        <v/>
      </c>
      <c r="C234" s="1" t="str">
        <f t="shared" si="16"/>
        <v/>
      </c>
      <c r="D234" s="1" t="str">
        <f t="shared" si="17"/>
        <v/>
      </c>
      <c r="E234" s="1" t="str">
        <f t="shared" si="18"/>
        <v/>
      </c>
    </row>
    <row r="235" spans="1:5">
      <c r="A235" t="str">
        <f t="shared" si="15"/>
        <v/>
      </c>
      <c r="B235" s="1" t="str">
        <f t="shared" si="19"/>
        <v/>
      </c>
      <c r="C235" s="1" t="str">
        <f t="shared" si="16"/>
        <v/>
      </c>
      <c r="D235" s="1" t="str">
        <f t="shared" si="17"/>
        <v/>
      </c>
      <c r="E235" s="1" t="str">
        <f t="shared" si="18"/>
        <v/>
      </c>
    </row>
    <row r="236" spans="1:5">
      <c r="A236" t="str">
        <f t="shared" si="15"/>
        <v/>
      </c>
      <c r="B236" s="1" t="str">
        <f t="shared" si="19"/>
        <v/>
      </c>
      <c r="C236" s="1" t="str">
        <f t="shared" si="16"/>
        <v/>
      </c>
      <c r="D236" s="1" t="str">
        <f t="shared" si="17"/>
        <v/>
      </c>
      <c r="E236" s="1" t="str">
        <f t="shared" si="18"/>
        <v/>
      </c>
    </row>
    <row r="237" spans="1:5">
      <c r="A237" t="str">
        <f t="shared" si="15"/>
        <v/>
      </c>
      <c r="B237" s="1" t="str">
        <f t="shared" si="19"/>
        <v/>
      </c>
      <c r="C237" s="1" t="str">
        <f t="shared" si="16"/>
        <v/>
      </c>
      <c r="D237" s="1" t="str">
        <f t="shared" si="17"/>
        <v/>
      </c>
      <c r="E237" s="1" t="str">
        <f t="shared" si="18"/>
        <v/>
      </c>
    </row>
    <row r="238" spans="1:5">
      <c r="A238" t="str">
        <f t="shared" si="15"/>
        <v/>
      </c>
      <c r="B238" s="1" t="str">
        <f t="shared" si="19"/>
        <v/>
      </c>
      <c r="C238" s="1" t="str">
        <f t="shared" si="16"/>
        <v/>
      </c>
      <c r="D238" s="1" t="str">
        <f t="shared" si="17"/>
        <v/>
      </c>
      <c r="E238" s="1" t="str">
        <f t="shared" si="18"/>
        <v/>
      </c>
    </row>
    <row r="239" spans="1:5">
      <c r="A239" t="str">
        <f t="shared" si="15"/>
        <v/>
      </c>
      <c r="B239" s="1" t="str">
        <f t="shared" si="19"/>
        <v/>
      </c>
      <c r="C239" s="1" t="str">
        <f t="shared" si="16"/>
        <v/>
      </c>
      <c r="D239" s="1" t="str">
        <f t="shared" si="17"/>
        <v/>
      </c>
      <c r="E239" s="1" t="str">
        <f t="shared" si="18"/>
        <v/>
      </c>
    </row>
    <row r="240" spans="1:5">
      <c r="A240" t="str">
        <f t="shared" si="15"/>
        <v/>
      </c>
      <c r="B240" s="1" t="str">
        <f t="shared" si="19"/>
        <v/>
      </c>
      <c r="C240" s="1" t="str">
        <f t="shared" si="16"/>
        <v/>
      </c>
      <c r="D240" s="1" t="str">
        <f t="shared" si="17"/>
        <v/>
      </c>
      <c r="E240" s="1" t="str">
        <f t="shared" si="18"/>
        <v/>
      </c>
    </row>
    <row r="241" spans="1:5">
      <c r="A241" t="str">
        <f t="shared" si="15"/>
        <v/>
      </c>
      <c r="B241" s="1" t="str">
        <f t="shared" si="19"/>
        <v/>
      </c>
      <c r="C241" s="1" t="str">
        <f t="shared" si="16"/>
        <v/>
      </c>
      <c r="D241" s="1" t="str">
        <f t="shared" si="17"/>
        <v/>
      </c>
      <c r="E241" s="1" t="str">
        <f t="shared" si="18"/>
        <v/>
      </c>
    </row>
    <row r="242" spans="1:5">
      <c r="A242" t="str">
        <f t="shared" si="15"/>
        <v/>
      </c>
      <c r="B242" s="1" t="str">
        <f t="shared" si="19"/>
        <v/>
      </c>
      <c r="C242" s="1" t="str">
        <f t="shared" si="16"/>
        <v/>
      </c>
      <c r="D242" s="1" t="str">
        <f t="shared" si="17"/>
        <v/>
      </c>
      <c r="E242" s="1" t="str">
        <f t="shared" si="18"/>
        <v/>
      </c>
    </row>
    <row r="243" spans="1:5">
      <c r="A243" t="str">
        <f t="shared" ref="A243:A263" si="20">IF(($B$7*$B$8&gt;A242),IF(($B$7*$B$8)=A242,"",A242+1),"")</f>
        <v/>
      </c>
      <c r="B243" s="1" t="str">
        <f t="shared" si="19"/>
        <v/>
      </c>
      <c r="C243" s="1" t="str">
        <f t="shared" ref="C243:C263" si="21">IF(A243="","",B243-D243)</f>
        <v/>
      </c>
      <c r="D243" s="1" t="str">
        <f t="shared" ref="D243:D263" si="22">IF(A243="","",(E242*($B$6/$B$8)))</f>
        <v/>
      </c>
      <c r="E243" s="1" t="str">
        <f t="shared" ref="E243:E263" si="23">IF(A243="","",E242-C243)</f>
        <v/>
      </c>
    </row>
    <row r="244" spans="1:5">
      <c r="A244" t="str">
        <f t="shared" si="20"/>
        <v/>
      </c>
      <c r="B244" s="1" t="str">
        <f t="shared" si="19"/>
        <v/>
      </c>
      <c r="C244" s="1" t="str">
        <f t="shared" si="21"/>
        <v/>
      </c>
      <c r="D244" s="1" t="str">
        <f t="shared" si="22"/>
        <v/>
      </c>
      <c r="E244" s="1" t="str">
        <f t="shared" si="23"/>
        <v/>
      </c>
    </row>
    <row r="245" spans="1:5">
      <c r="A245" t="str">
        <f t="shared" si="20"/>
        <v/>
      </c>
      <c r="B245" s="1" t="str">
        <f t="shared" si="19"/>
        <v/>
      </c>
      <c r="C245" s="1" t="str">
        <f t="shared" si="21"/>
        <v/>
      </c>
      <c r="D245" s="1" t="str">
        <f t="shared" si="22"/>
        <v/>
      </c>
      <c r="E245" s="1" t="str">
        <f t="shared" si="23"/>
        <v/>
      </c>
    </row>
    <row r="246" spans="1:5">
      <c r="A246" t="str">
        <f t="shared" si="20"/>
        <v/>
      </c>
      <c r="B246" s="1" t="str">
        <f t="shared" si="19"/>
        <v/>
      </c>
      <c r="C246" s="1" t="str">
        <f t="shared" si="21"/>
        <v/>
      </c>
      <c r="D246" s="1" t="str">
        <f t="shared" si="22"/>
        <v/>
      </c>
      <c r="E246" s="1" t="str">
        <f t="shared" si="23"/>
        <v/>
      </c>
    </row>
    <row r="247" spans="1:5">
      <c r="A247" t="str">
        <f t="shared" si="20"/>
        <v/>
      </c>
      <c r="B247" s="1" t="str">
        <f t="shared" si="19"/>
        <v/>
      </c>
      <c r="C247" s="1" t="str">
        <f t="shared" si="21"/>
        <v/>
      </c>
      <c r="D247" s="1" t="str">
        <f t="shared" si="22"/>
        <v/>
      </c>
      <c r="E247" s="1" t="str">
        <f t="shared" si="23"/>
        <v/>
      </c>
    </row>
    <row r="248" spans="1:5">
      <c r="A248" t="str">
        <f t="shared" si="20"/>
        <v/>
      </c>
      <c r="B248" s="1" t="str">
        <f t="shared" si="19"/>
        <v/>
      </c>
      <c r="C248" s="1" t="str">
        <f t="shared" si="21"/>
        <v/>
      </c>
      <c r="D248" s="1" t="str">
        <f t="shared" si="22"/>
        <v/>
      </c>
      <c r="E248" s="1" t="str">
        <f t="shared" si="23"/>
        <v/>
      </c>
    </row>
    <row r="249" spans="1:5">
      <c r="A249" t="str">
        <f t="shared" si="20"/>
        <v/>
      </c>
      <c r="B249" s="1" t="str">
        <f t="shared" si="19"/>
        <v/>
      </c>
      <c r="C249" s="1" t="str">
        <f t="shared" si="21"/>
        <v/>
      </c>
      <c r="D249" s="1" t="str">
        <f t="shared" si="22"/>
        <v/>
      </c>
      <c r="E249" s="1" t="str">
        <f t="shared" si="23"/>
        <v/>
      </c>
    </row>
    <row r="250" spans="1:5">
      <c r="A250" t="str">
        <f t="shared" si="20"/>
        <v/>
      </c>
      <c r="B250" s="1" t="str">
        <f t="shared" si="19"/>
        <v/>
      </c>
      <c r="C250" s="1" t="str">
        <f t="shared" si="21"/>
        <v/>
      </c>
      <c r="D250" s="1" t="str">
        <f t="shared" si="22"/>
        <v/>
      </c>
      <c r="E250" s="1" t="str">
        <f t="shared" si="23"/>
        <v/>
      </c>
    </row>
    <row r="251" spans="1:5">
      <c r="A251" t="str">
        <f t="shared" si="20"/>
        <v/>
      </c>
      <c r="B251" s="1" t="str">
        <f t="shared" si="19"/>
        <v/>
      </c>
      <c r="C251" s="1" t="str">
        <f t="shared" si="21"/>
        <v/>
      </c>
      <c r="D251" s="1" t="str">
        <f t="shared" si="22"/>
        <v/>
      </c>
      <c r="E251" s="1" t="str">
        <f t="shared" si="23"/>
        <v/>
      </c>
    </row>
    <row r="252" spans="1:5">
      <c r="A252" t="str">
        <f t="shared" si="20"/>
        <v/>
      </c>
      <c r="B252" s="1" t="str">
        <f t="shared" si="19"/>
        <v/>
      </c>
      <c r="C252" s="1" t="str">
        <f t="shared" si="21"/>
        <v/>
      </c>
      <c r="D252" s="1" t="str">
        <f t="shared" si="22"/>
        <v/>
      </c>
      <c r="E252" s="1" t="str">
        <f t="shared" si="23"/>
        <v/>
      </c>
    </row>
    <row r="253" spans="1:5">
      <c r="A253" t="str">
        <f t="shared" si="20"/>
        <v/>
      </c>
      <c r="B253" s="1" t="str">
        <f t="shared" si="19"/>
        <v/>
      </c>
      <c r="C253" s="1" t="str">
        <f t="shared" si="21"/>
        <v/>
      </c>
      <c r="D253" s="1" t="str">
        <f t="shared" si="22"/>
        <v/>
      </c>
      <c r="E253" s="1" t="str">
        <f t="shared" si="23"/>
        <v/>
      </c>
    </row>
    <row r="254" spans="1:5">
      <c r="A254" t="str">
        <f t="shared" si="20"/>
        <v/>
      </c>
      <c r="B254" s="1" t="str">
        <f t="shared" si="19"/>
        <v/>
      </c>
      <c r="C254" s="1" t="str">
        <f t="shared" si="21"/>
        <v/>
      </c>
      <c r="D254" s="1" t="str">
        <f t="shared" si="22"/>
        <v/>
      </c>
      <c r="E254" s="1" t="str">
        <f t="shared" si="23"/>
        <v/>
      </c>
    </row>
    <row r="255" spans="1:5">
      <c r="A255" t="str">
        <f t="shared" si="20"/>
        <v/>
      </c>
      <c r="B255" s="1" t="str">
        <f t="shared" si="19"/>
        <v/>
      </c>
      <c r="C255" s="1" t="str">
        <f t="shared" si="21"/>
        <v/>
      </c>
      <c r="D255" s="1" t="str">
        <f t="shared" si="22"/>
        <v/>
      </c>
      <c r="E255" s="1" t="str">
        <f t="shared" si="23"/>
        <v/>
      </c>
    </row>
    <row r="256" spans="1:5">
      <c r="A256" t="str">
        <f t="shared" si="20"/>
        <v/>
      </c>
      <c r="B256" s="1" t="str">
        <f t="shared" si="19"/>
        <v/>
      </c>
      <c r="C256" s="1" t="str">
        <f t="shared" si="21"/>
        <v/>
      </c>
      <c r="D256" s="1" t="str">
        <f t="shared" si="22"/>
        <v/>
      </c>
      <c r="E256" s="1" t="str">
        <f t="shared" si="23"/>
        <v/>
      </c>
    </row>
    <row r="257" spans="1:5">
      <c r="A257" t="str">
        <f t="shared" si="20"/>
        <v/>
      </c>
      <c r="B257" s="1" t="str">
        <f t="shared" si="19"/>
        <v/>
      </c>
      <c r="C257" s="1" t="str">
        <f t="shared" si="21"/>
        <v/>
      </c>
      <c r="D257" s="1" t="str">
        <f t="shared" si="22"/>
        <v/>
      </c>
      <c r="E257" s="1" t="str">
        <f t="shared" si="23"/>
        <v/>
      </c>
    </row>
    <row r="258" spans="1:5">
      <c r="A258" t="str">
        <f t="shared" si="20"/>
        <v/>
      </c>
      <c r="B258" s="1" t="str">
        <f t="shared" si="19"/>
        <v/>
      </c>
      <c r="C258" s="1" t="str">
        <f t="shared" si="21"/>
        <v/>
      </c>
      <c r="D258" s="1" t="str">
        <f t="shared" si="22"/>
        <v/>
      </c>
      <c r="E258" s="1" t="str">
        <f t="shared" si="23"/>
        <v/>
      </c>
    </row>
    <row r="259" spans="1:5">
      <c r="A259" t="str">
        <f t="shared" si="20"/>
        <v/>
      </c>
      <c r="B259" s="1" t="str">
        <f t="shared" si="19"/>
        <v/>
      </c>
      <c r="C259" s="1" t="str">
        <f t="shared" si="21"/>
        <v/>
      </c>
      <c r="D259" s="1" t="str">
        <f t="shared" si="22"/>
        <v/>
      </c>
      <c r="E259" s="1" t="str">
        <f t="shared" si="23"/>
        <v/>
      </c>
    </row>
    <row r="260" spans="1:5">
      <c r="A260" t="str">
        <f t="shared" si="20"/>
        <v/>
      </c>
      <c r="B260" s="1" t="str">
        <f t="shared" si="19"/>
        <v/>
      </c>
      <c r="C260" s="1" t="str">
        <f t="shared" si="21"/>
        <v/>
      </c>
      <c r="D260" s="1" t="str">
        <f t="shared" si="22"/>
        <v/>
      </c>
      <c r="E260" s="1" t="str">
        <f t="shared" si="23"/>
        <v/>
      </c>
    </row>
    <row r="261" spans="1:5">
      <c r="A261" t="str">
        <f t="shared" si="20"/>
        <v/>
      </c>
      <c r="B261" s="1" t="str">
        <f t="shared" si="19"/>
        <v/>
      </c>
      <c r="C261" s="1" t="str">
        <f t="shared" si="21"/>
        <v/>
      </c>
      <c r="D261" s="1" t="str">
        <f t="shared" si="22"/>
        <v/>
      </c>
      <c r="E261" s="1" t="str">
        <f t="shared" si="23"/>
        <v/>
      </c>
    </row>
    <row r="262" spans="1:5">
      <c r="A262" t="str">
        <f t="shared" si="20"/>
        <v/>
      </c>
      <c r="B262" s="1" t="str">
        <f t="shared" si="19"/>
        <v/>
      </c>
      <c r="C262" s="1" t="str">
        <f t="shared" si="21"/>
        <v/>
      </c>
      <c r="D262" s="1" t="str">
        <f t="shared" si="22"/>
        <v/>
      </c>
      <c r="E262" s="1" t="str">
        <f t="shared" si="23"/>
        <v/>
      </c>
    </row>
    <row r="263" spans="1:5">
      <c r="A263" t="str">
        <f t="shared" si="20"/>
        <v/>
      </c>
      <c r="B263" s="1" t="str">
        <f t="shared" si="19"/>
        <v/>
      </c>
      <c r="C263" s="1" t="str">
        <f t="shared" si="21"/>
        <v/>
      </c>
      <c r="D263" s="1" t="str">
        <f t="shared" si="22"/>
        <v/>
      </c>
      <c r="E263" s="1" t="str">
        <f t="shared" si="23"/>
        <v/>
      </c>
    </row>
    <row r="264" spans="1:5">
      <c r="A264" t="str">
        <f t="shared" ref="A264:A327" si="24">IF(($B$7*$B$8&gt;A263),IF(($B$7*$B$8)=A263,"",A263+1),"")</f>
        <v/>
      </c>
      <c r="B264" s="1" t="str">
        <f t="shared" si="19"/>
        <v/>
      </c>
      <c r="C264" s="1" t="str">
        <f t="shared" ref="C264:C327" si="25">IF(A264="","",B264-D264)</f>
        <v/>
      </c>
      <c r="D264" s="1" t="str">
        <f t="shared" ref="D264:D327" si="26">IF(A264="","",(E263*($B$6/$B$8)))</f>
        <v/>
      </c>
      <c r="E264" s="1" t="str">
        <f t="shared" ref="E264:E327" si="27">IF(A264="","",E263-C264)</f>
        <v/>
      </c>
    </row>
    <row r="265" spans="1:5">
      <c r="A265" t="str">
        <f t="shared" si="24"/>
        <v/>
      </c>
      <c r="B265" s="1" t="str">
        <f t="shared" si="19"/>
        <v/>
      </c>
      <c r="C265" s="1" t="str">
        <f t="shared" si="25"/>
        <v/>
      </c>
      <c r="D265" s="1" t="str">
        <f t="shared" si="26"/>
        <v/>
      </c>
      <c r="E265" s="1" t="str">
        <f t="shared" si="27"/>
        <v/>
      </c>
    </row>
    <row r="266" spans="1:5">
      <c r="A266" t="str">
        <f t="shared" si="24"/>
        <v/>
      </c>
      <c r="B266" s="1" t="str">
        <f t="shared" si="19"/>
        <v/>
      </c>
      <c r="C266" s="1" t="str">
        <f t="shared" si="25"/>
        <v/>
      </c>
      <c r="D266" s="1" t="str">
        <f t="shared" si="26"/>
        <v/>
      </c>
      <c r="E266" s="1" t="str">
        <f t="shared" si="27"/>
        <v/>
      </c>
    </row>
    <row r="267" spans="1:5">
      <c r="A267" t="str">
        <f t="shared" si="24"/>
        <v/>
      </c>
      <c r="B267" s="1" t="str">
        <f t="shared" si="19"/>
        <v/>
      </c>
      <c r="C267" s="1" t="str">
        <f t="shared" si="25"/>
        <v/>
      </c>
      <c r="D267" s="1" t="str">
        <f t="shared" si="26"/>
        <v/>
      </c>
      <c r="E267" s="1" t="str">
        <f t="shared" si="27"/>
        <v/>
      </c>
    </row>
    <row r="268" spans="1:5">
      <c r="A268" t="str">
        <f t="shared" si="24"/>
        <v/>
      </c>
      <c r="B268" s="1" t="str">
        <f t="shared" si="19"/>
        <v/>
      </c>
      <c r="C268" s="1" t="str">
        <f t="shared" si="25"/>
        <v/>
      </c>
      <c r="D268" s="1" t="str">
        <f t="shared" si="26"/>
        <v/>
      </c>
      <c r="E268" s="1" t="str">
        <f t="shared" si="27"/>
        <v/>
      </c>
    </row>
    <row r="269" spans="1:5">
      <c r="A269" t="str">
        <f t="shared" si="24"/>
        <v/>
      </c>
      <c r="B269" s="1" t="str">
        <f t="shared" si="19"/>
        <v/>
      </c>
      <c r="C269" s="1" t="str">
        <f t="shared" si="25"/>
        <v/>
      </c>
      <c r="D269" s="1" t="str">
        <f t="shared" si="26"/>
        <v/>
      </c>
      <c r="E269" s="1" t="str">
        <f t="shared" si="27"/>
        <v/>
      </c>
    </row>
    <row r="270" spans="1:5">
      <c r="A270" t="str">
        <f t="shared" si="24"/>
        <v/>
      </c>
      <c r="B270" s="1" t="str">
        <f t="shared" si="19"/>
        <v/>
      </c>
      <c r="C270" s="1" t="str">
        <f t="shared" si="25"/>
        <v/>
      </c>
      <c r="D270" s="1" t="str">
        <f t="shared" si="26"/>
        <v/>
      </c>
      <c r="E270" s="1" t="str">
        <f t="shared" si="27"/>
        <v/>
      </c>
    </row>
    <row r="271" spans="1:5">
      <c r="A271" t="str">
        <f t="shared" si="24"/>
        <v/>
      </c>
      <c r="B271" s="1" t="str">
        <f t="shared" si="19"/>
        <v/>
      </c>
      <c r="C271" s="1" t="str">
        <f t="shared" si="25"/>
        <v/>
      </c>
      <c r="D271" s="1" t="str">
        <f t="shared" si="26"/>
        <v/>
      </c>
      <c r="E271" s="1" t="str">
        <f t="shared" si="27"/>
        <v/>
      </c>
    </row>
    <row r="272" spans="1:5">
      <c r="A272" t="str">
        <f t="shared" si="24"/>
        <v/>
      </c>
      <c r="B272" s="1" t="str">
        <f t="shared" ref="B272:B335" si="28">IF(A272="","",$B$14)</f>
        <v/>
      </c>
      <c r="C272" s="1" t="str">
        <f t="shared" si="25"/>
        <v/>
      </c>
      <c r="D272" s="1" t="str">
        <f t="shared" si="26"/>
        <v/>
      </c>
      <c r="E272" s="1" t="str">
        <f t="shared" si="27"/>
        <v/>
      </c>
    </row>
    <row r="273" spans="1:5">
      <c r="A273" t="str">
        <f t="shared" si="24"/>
        <v/>
      </c>
      <c r="B273" s="1" t="str">
        <f t="shared" si="28"/>
        <v/>
      </c>
      <c r="C273" s="1" t="str">
        <f t="shared" si="25"/>
        <v/>
      </c>
      <c r="D273" s="1" t="str">
        <f t="shared" si="26"/>
        <v/>
      </c>
      <c r="E273" s="1" t="str">
        <f t="shared" si="27"/>
        <v/>
      </c>
    </row>
    <row r="274" spans="1:5">
      <c r="A274" t="str">
        <f t="shared" si="24"/>
        <v/>
      </c>
      <c r="B274" s="1" t="str">
        <f t="shared" si="28"/>
        <v/>
      </c>
      <c r="C274" s="1" t="str">
        <f t="shared" si="25"/>
        <v/>
      </c>
      <c r="D274" s="1" t="str">
        <f t="shared" si="26"/>
        <v/>
      </c>
      <c r="E274" s="1" t="str">
        <f t="shared" si="27"/>
        <v/>
      </c>
    </row>
    <row r="275" spans="1:5">
      <c r="A275" t="str">
        <f t="shared" si="24"/>
        <v/>
      </c>
      <c r="B275" s="1" t="str">
        <f t="shared" si="28"/>
        <v/>
      </c>
      <c r="C275" s="1" t="str">
        <f t="shared" si="25"/>
        <v/>
      </c>
      <c r="D275" s="1" t="str">
        <f t="shared" si="26"/>
        <v/>
      </c>
      <c r="E275" s="1" t="str">
        <f t="shared" si="27"/>
        <v/>
      </c>
    </row>
    <row r="276" spans="1:5">
      <c r="A276" t="str">
        <f t="shared" si="24"/>
        <v/>
      </c>
      <c r="B276" s="1" t="str">
        <f t="shared" si="28"/>
        <v/>
      </c>
      <c r="C276" s="1" t="str">
        <f t="shared" si="25"/>
        <v/>
      </c>
      <c r="D276" s="1" t="str">
        <f t="shared" si="26"/>
        <v/>
      </c>
      <c r="E276" s="1" t="str">
        <f t="shared" si="27"/>
        <v/>
      </c>
    </row>
    <row r="277" spans="1:5">
      <c r="A277" t="str">
        <f t="shared" si="24"/>
        <v/>
      </c>
      <c r="B277" s="1" t="str">
        <f t="shared" si="28"/>
        <v/>
      </c>
      <c r="C277" s="1" t="str">
        <f t="shared" si="25"/>
        <v/>
      </c>
      <c r="D277" s="1" t="str">
        <f t="shared" si="26"/>
        <v/>
      </c>
      <c r="E277" s="1" t="str">
        <f t="shared" si="27"/>
        <v/>
      </c>
    </row>
    <row r="278" spans="1:5">
      <c r="A278" t="str">
        <f t="shared" si="24"/>
        <v/>
      </c>
      <c r="B278" s="1" t="str">
        <f t="shared" si="28"/>
        <v/>
      </c>
      <c r="C278" s="1" t="str">
        <f t="shared" si="25"/>
        <v/>
      </c>
      <c r="D278" s="1" t="str">
        <f t="shared" si="26"/>
        <v/>
      </c>
      <c r="E278" s="1" t="str">
        <f t="shared" si="27"/>
        <v/>
      </c>
    </row>
    <row r="279" spans="1:5">
      <c r="A279" t="str">
        <f t="shared" si="24"/>
        <v/>
      </c>
      <c r="B279" s="1" t="str">
        <f t="shared" si="28"/>
        <v/>
      </c>
      <c r="C279" s="1" t="str">
        <f t="shared" si="25"/>
        <v/>
      </c>
      <c r="D279" s="1" t="str">
        <f t="shared" si="26"/>
        <v/>
      </c>
      <c r="E279" s="1" t="str">
        <f t="shared" si="27"/>
        <v/>
      </c>
    </row>
    <row r="280" spans="1:5">
      <c r="A280" t="str">
        <f t="shared" si="24"/>
        <v/>
      </c>
      <c r="B280" s="1" t="str">
        <f t="shared" si="28"/>
        <v/>
      </c>
      <c r="C280" s="1" t="str">
        <f t="shared" si="25"/>
        <v/>
      </c>
      <c r="D280" s="1" t="str">
        <f t="shared" si="26"/>
        <v/>
      </c>
      <c r="E280" s="1" t="str">
        <f t="shared" si="27"/>
        <v/>
      </c>
    </row>
    <row r="281" spans="1:5">
      <c r="A281" t="str">
        <f t="shared" si="24"/>
        <v/>
      </c>
      <c r="B281" s="1" t="str">
        <f t="shared" si="28"/>
        <v/>
      </c>
      <c r="C281" s="1" t="str">
        <f t="shared" si="25"/>
        <v/>
      </c>
      <c r="D281" s="1" t="str">
        <f t="shared" si="26"/>
        <v/>
      </c>
      <c r="E281" s="1" t="str">
        <f t="shared" si="27"/>
        <v/>
      </c>
    </row>
    <row r="282" spans="1:5">
      <c r="A282" t="str">
        <f t="shared" si="24"/>
        <v/>
      </c>
      <c r="B282" s="1" t="str">
        <f t="shared" si="28"/>
        <v/>
      </c>
      <c r="C282" s="1" t="str">
        <f t="shared" si="25"/>
        <v/>
      </c>
      <c r="D282" s="1" t="str">
        <f t="shared" si="26"/>
        <v/>
      </c>
      <c r="E282" s="1" t="str">
        <f t="shared" si="27"/>
        <v/>
      </c>
    </row>
    <row r="283" spans="1:5">
      <c r="A283" t="str">
        <f t="shared" si="24"/>
        <v/>
      </c>
      <c r="B283" s="1" t="str">
        <f t="shared" si="28"/>
        <v/>
      </c>
      <c r="C283" s="1" t="str">
        <f t="shared" si="25"/>
        <v/>
      </c>
      <c r="D283" s="1" t="str">
        <f t="shared" si="26"/>
        <v/>
      </c>
      <c r="E283" s="1" t="str">
        <f t="shared" si="27"/>
        <v/>
      </c>
    </row>
    <row r="284" spans="1:5">
      <c r="A284" t="str">
        <f t="shared" si="24"/>
        <v/>
      </c>
      <c r="B284" s="1" t="str">
        <f t="shared" si="28"/>
        <v/>
      </c>
      <c r="C284" s="1" t="str">
        <f t="shared" si="25"/>
        <v/>
      </c>
      <c r="D284" s="1" t="str">
        <f t="shared" si="26"/>
        <v/>
      </c>
      <c r="E284" s="1" t="str">
        <f t="shared" si="27"/>
        <v/>
      </c>
    </row>
    <row r="285" spans="1:5">
      <c r="A285" t="str">
        <f t="shared" si="24"/>
        <v/>
      </c>
      <c r="B285" s="1" t="str">
        <f t="shared" si="28"/>
        <v/>
      </c>
      <c r="C285" s="1" t="str">
        <f t="shared" si="25"/>
        <v/>
      </c>
      <c r="D285" s="1" t="str">
        <f t="shared" si="26"/>
        <v/>
      </c>
      <c r="E285" s="1" t="str">
        <f t="shared" si="27"/>
        <v/>
      </c>
    </row>
    <row r="286" spans="1:5">
      <c r="A286" t="str">
        <f t="shared" si="24"/>
        <v/>
      </c>
      <c r="B286" s="1" t="str">
        <f t="shared" si="28"/>
        <v/>
      </c>
      <c r="C286" s="1" t="str">
        <f t="shared" si="25"/>
        <v/>
      </c>
      <c r="D286" s="1" t="str">
        <f t="shared" si="26"/>
        <v/>
      </c>
      <c r="E286" s="1" t="str">
        <f t="shared" si="27"/>
        <v/>
      </c>
    </row>
    <row r="287" spans="1:5">
      <c r="A287" t="str">
        <f t="shared" si="24"/>
        <v/>
      </c>
      <c r="B287" s="1" t="str">
        <f t="shared" si="28"/>
        <v/>
      </c>
      <c r="C287" s="1" t="str">
        <f t="shared" si="25"/>
        <v/>
      </c>
      <c r="D287" s="1" t="str">
        <f t="shared" si="26"/>
        <v/>
      </c>
      <c r="E287" s="1" t="str">
        <f t="shared" si="27"/>
        <v/>
      </c>
    </row>
    <row r="288" spans="1:5">
      <c r="A288" t="str">
        <f t="shared" si="24"/>
        <v/>
      </c>
      <c r="B288" s="1" t="str">
        <f t="shared" si="28"/>
        <v/>
      </c>
      <c r="C288" s="1" t="str">
        <f t="shared" si="25"/>
        <v/>
      </c>
      <c r="D288" s="1" t="str">
        <f t="shared" si="26"/>
        <v/>
      </c>
      <c r="E288" s="1" t="str">
        <f t="shared" si="27"/>
        <v/>
      </c>
    </row>
    <row r="289" spans="1:5">
      <c r="A289" t="str">
        <f t="shared" si="24"/>
        <v/>
      </c>
      <c r="B289" s="1" t="str">
        <f t="shared" si="28"/>
        <v/>
      </c>
      <c r="C289" s="1" t="str">
        <f t="shared" si="25"/>
        <v/>
      </c>
      <c r="D289" s="1" t="str">
        <f t="shared" si="26"/>
        <v/>
      </c>
      <c r="E289" s="1" t="str">
        <f t="shared" si="27"/>
        <v/>
      </c>
    </row>
    <row r="290" spans="1:5">
      <c r="A290" t="str">
        <f t="shared" si="24"/>
        <v/>
      </c>
      <c r="B290" s="1" t="str">
        <f t="shared" si="28"/>
        <v/>
      </c>
      <c r="C290" s="1" t="str">
        <f t="shared" si="25"/>
        <v/>
      </c>
      <c r="D290" s="1" t="str">
        <f t="shared" si="26"/>
        <v/>
      </c>
      <c r="E290" s="1" t="str">
        <f t="shared" si="27"/>
        <v/>
      </c>
    </row>
    <row r="291" spans="1:5">
      <c r="A291" t="str">
        <f t="shared" si="24"/>
        <v/>
      </c>
      <c r="B291" s="1" t="str">
        <f t="shared" si="28"/>
        <v/>
      </c>
      <c r="C291" s="1" t="str">
        <f t="shared" si="25"/>
        <v/>
      </c>
      <c r="D291" s="1" t="str">
        <f t="shared" si="26"/>
        <v/>
      </c>
      <c r="E291" s="1" t="str">
        <f t="shared" si="27"/>
        <v/>
      </c>
    </row>
    <row r="292" spans="1:5">
      <c r="A292" t="str">
        <f t="shared" si="24"/>
        <v/>
      </c>
      <c r="B292" s="1" t="str">
        <f t="shared" si="28"/>
        <v/>
      </c>
      <c r="C292" s="1" t="str">
        <f t="shared" si="25"/>
        <v/>
      </c>
      <c r="D292" s="1" t="str">
        <f t="shared" si="26"/>
        <v/>
      </c>
      <c r="E292" s="1" t="str">
        <f t="shared" si="27"/>
        <v/>
      </c>
    </row>
    <row r="293" spans="1:5">
      <c r="A293" t="str">
        <f t="shared" si="24"/>
        <v/>
      </c>
      <c r="B293" s="1" t="str">
        <f t="shared" si="28"/>
        <v/>
      </c>
      <c r="C293" s="1" t="str">
        <f t="shared" si="25"/>
        <v/>
      </c>
      <c r="D293" s="1" t="str">
        <f t="shared" si="26"/>
        <v/>
      </c>
      <c r="E293" s="1" t="str">
        <f t="shared" si="27"/>
        <v/>
      </c>
    </row>
    <row r="294" spans="1:5">
      <c r="A294" t="str">
        <f t="shared" si="24"/>
        <v/>
      </c>
      <c r="B294" s="1" t="str">
        <f t="shared" si="28"/>
        <v/>
      </c>
      <c r="C294" s="1" t="str">
        <f t="shared" si="25"/>
        <v/>
      </c>
      <c r="D294" s="1" t="str">
        <f t="shared" si="26"/>
        <v/>
      </c>
      <c r="E294" s="1" t="str">
        <f t="shared" si="27"/>
        <v/>
      </c>
    </row>
    <row r="295" spans="1:5">
      <c r="A295" t="str">
        <f t="shared" si="24"/>
        <v/>
      </c>
      <c r="B295" s="1" t="str">
        <f t="shared" si="28"/>
        <v/>
      </c>
      <c r="C295" s="1" t="str">
        <f t="shared" si="25"/>
        <v/>
      </c>
      <c r="D295" s="1" t="str">
        <f t="shared" si="26"/>
        <v/>
      </c>
      <c r="E295" s="1" t="str">
        <f t="shared" si="27"/>
        <v/>
      </c>
    </row>
    <row r="296" spans="1:5">
      <c r="A296" t="str">
        <f t="shared" si="24"/>
        <v/>
      </c>
      <c r="B296" s="1" t="str">
        <f t="shared" si="28"/>
        <v/>
      </c>
      <c r="C296" s="1" t="str">
        <f t="shared" si="25"/>
        <v/>
      </c>
      <c r="D296" s="1" t="str">
        <f t="shared" si="26"/>
        <v/>
      </c>
      <c r="E296" s="1" t="str">
        <f t="shared" si="27"/>
        <v/>
      </c>
    </row>
    <row r="297" spans="1:5">
      <c r="A297" t="str">
        <f t="shared" si="24"/>
        <v/>
      </c>
      <c r="B297" s="1" t="str">
        <f t="shared" si="28"/>
        <v/>
      </c>
      <c r="C297" s="1" t="str">
        <f t="shared" si="25"/>
        <v/>
      </c>
      <c r="D297" s="1" t="str">
        <f t="shared" si="26"/>
        <v/>
      </c>
      <c r="E297" s="1" t="str">
        <f t="shared" si="27"/>
        <v/>
      </c>
    </row>
    <row r="298" spans="1:5">
      <c r="A298" t="str">
        <f t="shared" si="24"/>
        <v/>
      </c>
      <c r="B298" s="1" t="str">
        <f t="shared" si="28"/>
        <v/>
      </c>
      <c r="C298" s="1" t="str">
        <f t="shared" si="25"/>
        <v/>
      </c>
      <c r="D298" s="1" t="str">
        <f t="shared" si="26"/>
        <v/>
      </c>
      <c r="E298" s="1" t="str">
        <f t="shared" si="27"/>
        <v/>
      </c>
    </row>
    <row r="299" spans="1:5">
      <c r="A299" t="str">
        <f t="shared" si="24"/>
        <v/>
      </c>
      <c r="B299" s="1" t="str">
        <f t="shared" si="28"/>
        <v/>
      </c>
      <c r="C299" s="1" t="str">
        <f t="shared" si="25"/>
        <v/>
      </c>
      <c r="D299" s="1" t="str">
        <f t="shared" si="26"/>
        <v/>
      </c>
      <c r="E299" s="1" t="str">
        <f t="shared" si="27"/>
        <v/>
      </c>
    </row>
    <row r="300" spans="1:5">
      <c r="A300" t="str">
        <f t="shared" si="24"/>
        <v/>
      </c>
      <c r="B300" s="1" t="str">
        <f t="shared" si="28"/>
        <v/>
      </c>
      <c r="C300" s="1" t="str">
        <f t="shared" si="25"/>
        <v/>
      </c>
      <c r="D300" s="1" t="str">
        <f t="shared" si="26"/>
        <v/>
      </c>
      <c r="E300" s="1" t="str">
        <f t="shared" si="27"/>
        <v/>
      </c>
    </row>
    <row r="301" spans="1:5">
      <c r="A301" t="str">
        <f t="shared" si="24"/>
        <v/>
      </c>
      <c r="B301" s="1" t="str">
        <f t="shared" si="28"/>
        <v/>
      </c>
      <c r="C301" s="1" t="str">
        <f t="shared" si="25"/>
        <v/>
      </c>
      <c r="D301" s="1" t="str">
        <f t="shared" si="26"/>
        <v/>
      </c>
      <c r="E301" s="1" t="str">
        <f t="shared" si="27"/>
        <v/>
      </c>
    </row>
    <row r="302" spans="1:5">
      <c r="A302" t="str">
        <f t="shared" si="24"/>
        <v/>
      </c>
      <c r="B302" s="1" t="str">
        <f t="shared" si="28"/>
        <v/>
      </c>
      <c r="C302" s="1" t="str">
        <f t="shared" si="25"/>
        <v/>
      </c>
      <c r="D302" s="1" t="str">
        <f t="shared" si="26"/>
        <v/>
      </c>
      <c r="E302" s="1" t="str">
        <f t="shared" si="27"/>
        <v/>
      </c>
    </row>
    <row r="303" spans="1:5">
      <c r="A303" t="str">
        <f t="shared" si="24"/>
        <v/>
      </c>
      <c r="B303" s="1" t="str">
        <f t="shared" si="28"/>
        <v/>
      </c>
      <c r="C303" s="1" t="str">
        <f t="shared" si="25"/>
        <v/>
      </c>
      <c r="D303" s="1" t="str">
        <f t="shared" si="26"/>
        <v/>
      </c>
      <c r="E303" s="1" t="str">
        <f t="shared" si="27"/>
        <v/>
      </c>
    </row>
    <row r="304" spans="1:5">
      <c r="A304" t="str">
        <f t="shared" si="24"/>
        <v/>
      </c>
      <c r="B304" s="1" t="str">
        <f t="shared" si="28"/>
        <v/>
      </c>
      <c r="C304" s="1" t="str">
        <f t="shared" si="25"/>
        <v/>
      </c>
      <c r="D304" s="1" t="str">
        <f t="shared" si="26"/>
        <v/>
      </c>
      <c r="E304" s="1" t="str">
        <f t="shared" si="27"/>
        <v/>
      </c>
    </row>
    <row r="305" spans="1:5">
      <c r="A305" t="str">
        <f t="shared" si="24"/>
        <v/>
      </c>
      <c r="B305" s="1" t="str">
        <f t="shared" si="28"/>
        <v/>
      </c>
      <c r="C305" s="1" t="str">
        <f t="shared" si="25"/>
        <v/>
      </c>
      <c r="D305" s="1" t="str">
        <f t="shared" si="26"/>
        <v/>
      </c>
      <c r="E305" s="1" t="str">
        <f t="shared" si="27"/>
        <v/>
      </c>
    </row>
    <row r="306" spans="1:5">
      <c r="A306" t="str">
        <f t="shared" si="24"/>
        <v/>
      </c>
      <c r="B306" s="1" t="str">
        <f t="shared" si="28"/>
        <v/>
      </c>
      <c r="C306" s="1" t="str">
        <f t="shared" si="25"/>
        <v/>
      </c>
      <c r="D306" s="1" t="str">
        <f t="shared" si="26"/>
        <v/>
      </c>
      <c r="E306" s="1" t="str">
        <f t="shared" si="27"/>
        <v/>
      </c>
    </row>
    <row r="307" spans="1:5">
      <c r="A307" t="str">
        <f t="shared" si="24"/>
        <v/>
      </c>
      <c r="B307" s="1" t="str">
        <f t="shared" si="28"/>
        <v/>
      </c>
      <c r="C307" s="1" t="str">
        <f t="shared" si="25"/>
        <v/>
      </c>
      <c r="D307" s="1" t="str">
        <f t="shared" si="26"/>
        <v/>
      </c>
      <c r="E307" s="1" t="str">
        <f t="shared" si="27"/>
        <v/>
      </c>
    </row>
    <row r="308" spans="1:5">
      <c r="A308" t="str">
        <f t="shared" si="24"/>
        <v/>
      </c>
      <c r="B308" s="1" t="str">
        <f t="shared" si="28"/>
        <v/>
      </c>
      <c r="C308" s="1" t="str">
        <f t="shared" si="25"/>
        <v/>
      </c>
      <c r="D308" s="1" t="str">
        <f t="shared" si="26"/>
        <v/>
      </c>
      <c r="E308" s="1" t="str">
        <f t="shared" si="27"/>
        <v/>
      </c>
    </row>
    <row r="309" spans="1:5">
      <c r="A309" t="str">
        <f t="shared" si="24"/>
        <v/>
      </c>
      <c r="B309" s="1" t="str">
        <f t="shared" si="28"/>
        <v/>
      </c>
      <c r="C309" s="1" t="str">
        <f t="shared" si="25"/>
        <v/>
      </c>
      <c r="D309" s="1" t="str">
        <f t="shared" si="26"/>
        <v/>
      </c>
      <c r="E309" s="1" t="str">
        <f t="shared" si="27"/>
        <v/>
      </c>
    </row>
    <row r="310" spans="1:5">
      <c r="A310" t="str">
        <f t="shared" si="24"/>
        <v/>
      </c>
      <c r="B310" s="1" t="str">
        <f t="shared" si="28"/>
        <v/>
      </c>
      <c r="C310" s="1" t="str">
        <f t="shared" si="25"/>
        <v/>
      </c>
      <c r="D310" s="1" t="str">
        <f t="shared" si="26"/>
        <v/>
      </c>
      <c r="E310" s="1" t="str">
        <f t="shared" si="27"/>
        <v/>
      </c>
    </row>
    <row r="311" spans="1:5">
      <c r="A311" t="str">
        <f t="shared" si="24"/>
        <v/>
      </c>
      <c r="B311" s="1" t="str">
        <f t="shared" si="28"/>
        <v/>
      </c>
      <c r="C311" s="1" t="str">
        <f t="shared" si="25"/>
        <v/>
      </c>
      <c r="D311" s="1" t="str">
        <f t="shared" si="26"/>
        <v/>
      </c>
      <c r="E311" s="1" t="str">
        <f t="shared" si="27"/>
        <v/>
      </c>
    </row>
    <row r="312" spans="1:5">
      <c r="A312" t="str">
        <f t="shared" si="24"/>
        <v/>
      </c>
      <c r="B312" s="1" t="str">
        <f t="shared" si="28"/>
        <v/>
      </c>
      <c r="C312" s="1" t="str">
        <f t="shared" si="25"/>
        <v/>
      </c>
      <c r="D312" s="1" t="str">
        <f t="shared" si="26"/>
        <v/>
      </c>
      <c r="E312" s="1" t="str">
        <f t="shared" si="27"/>
        <v/>
      </c>
    </row>
    <row r="313" spans="1:5">
      <c r="A313" t="str">
        <f t="shared" si="24"/>
        <v/>
      </c>
      <c r="B313" s="1" t="str">
        <f t="shared" si="28"/>
        <v/>
      </c>
      <c r="C313" s="1" t="str">
        <f t="shared" si="25"/>
        <v/>
      </c>
      <c r="D313" s="1" t="str">
        <f t="shared" si="26"/>
        <v/>
      </c>
      <c r="E313" s="1" t="str">
        <f t="shared" si="27"/>
        <v/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workbookViewId="0">
      <selection activeCell="V6" sqref="V6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7"/>
      <c r="J6" s="127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29"/>
      <c r="J7" s="129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29"/>
      <c r="J8" s="129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29"/>
      <c r="J9" s="129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F5" sqref="F5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7"/>
      <c r="K6" s="127"/>
    </row>
    <row r="7" spans="6:11">
      <c r="F7" s="66" t="s">
        <v>85</v>
      </c>
      <c r="G7" s="94">
        <f>'Profit and Loss Statement'!E21/'Profit and Loss Statement'!E8</f>
        <v>817722.74673684209</v>
      </c>
      <c r="H7" s="94">
        <f>'Profit and Loss Statement'!F21/'Profit and Loss Statement'!F8</f>
        <v>851665.91450526321</v>
      </c>
      <c r="I7" s="94">
        <f>'Profit and Loss Statement'!G21/'Profit and Loss Statement'!G8</f>
        <v>885780.91483894736</v>
      </c>
      <c r="J7" s="128"/>
      <c r="K7" s="128"/>
    </row>
    <row r="8" spans="6:11">
      <c r="F8" s="115"/>
      <c r="G8" s="115"/>
      <c r="H8" s="115"/>
      <c r="I8" s="115"/>
    </row>
    <row r="9" spans="6:11">
      <c r="F9" s="115"/>
      <c r="G9" s="115"/>
      <c r="H9" s="115"/>
      <c r="I9" s="115"/>
    </row>
    <row r="10" spans="6:11">
      <c r="F10" s="115"/>
      <c r="G10" s="115"/>
      <c r="H10" s="115"/>
      <c r="I10" s="115"/>
    </row>
    <row r="11" spans="6:11">
      <c r="F11" s="112" t="s">
        <v>86</v>
      </c>
      <c r="G11" s="114">
        <f>G7</f>
        <v>817722.74673684209</v>
      </c>
      <c r="H11" s="114">
        <f t="shared" ref="H11:K11" si="0">H7</f>
        <v>851665.91450526321</v>
      </c>
      <c r="I11" s="114">
        <f t="shared" si="0"/>
        <v>885780.91483894736</v>
      </c>
      <c r="J11" s="114">
        <f t="shared" si="0"/>
        <v>0</v>
      </c>
      <c r="K11" s="114">
        <f t="shared" si="0"/>
        <v>0</v>
      </c>
    </row>
    <row r="12" spans="6:11">
      <c r="F12" s="112"/>
      <c r="G12" s="112"/>
      <c r="H12" s="112"/>
      <c r="I12" s="112"/>
    </row>
  </sheetData>
  <sheetProtection algorithmName="SHA-512" hashValue="uonFg5H5bCIAQnpheO45SiwtYOuW5LITIKheTsLE5lLtU2q/xMrYTRRSRKGKD4VKHDQrxxZdd1RTn7nC2ycI9Q==" saltValue="ZpgY53Q5hbmKZbhPmqkihA==" spinCount="100000" sheet="1" scenarios="1"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T8" sqref="T8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7"/>
      <c r="J6" s="127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0.2</v>
      </c>
      <c r="H8" s="101">
        <f>'Revenue Overview'!H5</f>
        <v>0.15</v>
      </c>
      <c r="I8" s="129"/>
      <c r="J8" s="129"/>
    </row>
    <row r="9" spans="5:10">
      <c r="E9" s="103" t="s">
        <v>12</v>
      </c>
      <c r="F9" s="104">
        <f>'Profit and Loss Statement'!E8</f>
        <v>0.95</v>
      </c>
      <c r="G9" s="104">
        <f>'Profit and Loss Statement'!F8</f>
        <v>0.95</v>
      </c>
      <c r="H9" s="101">
        <f>'Profit and Loss Statement'!G8</f>
        <v>0.95</v>
      </c>
      <c r="I9" s="129"/>
      <c r="J9" s="129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0.13713353865093117</v>
      </c>
      <c r="G12" s="101">
        <f>'Profit and Loss Statement'!F28/'Profit and Loss Statement'!F6</f>
        <v>0.20839531523946508</v>
      </c>
      <c r="H12" s="101">
        <f>'Profit and Loss Statement'!G28/'Profit and Loss Statement'!G6</f>
        <v>0.25340686749095609</v>
      </c>
      <c r="I12" s="129"/>
      <c r="J12" s="129"/>
    </row>
    <row r="13" spans="5:10">
      <c r="E13" s="66" t="s">
        <v>92</v>
      </c>
      <c r="F13" s="105">
        <f>'Balance Sheet'!E10/'Balance Sheet'!E15</f>
        <v>1.3685318534255779</v>
      </c>
      <c r="G13" s="105">
        <f>'Balance Sheet'!F10/'Balance Sheet'!F15</f>
        <v>1.7255163820516342</v>
      </c>
      <c r="H13" s="105">
        <f>'Balance Sheet'!G10/'Balance Sheet'!G15</f>
        <v>2.3002063696781141</v>
      </c>
      <c r="I13" s="130"/>
      <c r="J13" s="130"/>
    </row>
    <row r="14" spans="5:10">
      <c r="E14" s="66" t="s">
        <v>93</v>
      </c>
      <c r="F14" s="105">
        <f>'Balance Sheet'!E17/'Balance Sheet'!E15</f>
        <v>0.36853185342557793</v>
      </c>
      <c r="G14" s="105">
        <f>'Balance Sheet'!F17/'Balance Sheet'!F15</f>
        <v>0.72551638205163427</v>
      </c>
      <c r="H14" s="105">
        <f>'Balance Sheet'!G17/'Balance Sheet'!G15</f>
        <v>1.3002063696781141</v>
      </c>
      <c r="I14" s="130"/>
      <c r="J14" s="130"/>
    </row>
    <row r="15" spans="5:10">
      <c r="E15" s="66" t="s">
        <v>94</v>
      </c>
      <c r="F15" s="105">
        <f>'Balance Sheet'!E10/'Balance Sheet'!E17</f>
        <v>3.7134696518219479</v>
      </c>
      <c r="G15" s="105">
        <f>'Balance Sheet'!F10/'Balance Sheet'!F17</f>
        <v>2.3783286287377465</v>
      </c>
      <c r="H15" s="105">
        <f>'Balance Sheet'!G10/'Balance Sheet'!G17</f>
        <v>1.7691086763769395</v>
      </c>
      <c r="I15" s="130"/>
      <c r="J15" s="130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0.41269229934908186</v>
      </c>
      <c r="G18" s="105">
        <f>'Balance Sheet'!F7/'Balance Sheet'!F10</f>
        <v>0.49223959702188297</v>
      </c>
      <c r="H18" s="105">
        <f>'Balance Sheet'!G7/'Balance Sheet'!G10</f>
        <v>0.56840337648430062</v>
      </c>
      <c r="I18" s="130"/>
      <c r="J18" s="130"/>
    </row>
    <row r="19" spans="5:10">
      <c r="E19" s="66" t="s">
        <v>96</v>
      </c>
      <c r="F19" s="105">
        <f>'Balance Sheet'!E7/'Balance Sheet'!E15</f>
        <v>0.56478255732266247</v>
      </c>
      <c r="G19" s="105">
        <f>'Balance Sheet'!F7/'Balance Sheet'!F15</f>
        <v>0.84936748855575395</v>
      </c>
      <c r="H19" s="105">
        <f>'Balance Sheet'!G7/'Balance Sheet'!G15</f>
        <v>1.3074450671357356</v>
      </c>
      <c r="I19" s="130"/>
      <c r="J19" s="130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workbookViewId="0">
      <selection activeCell="F34" sqref="F34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9.28515625" customWidth="1"/>
    <col min="9" max="9" width="10" customWidth="1"/>
    <col min="10" max="11" width="11.7109375" customWidth="1"/>
    <col min="12" max="12" width="23.140625" customWidth="1"/>
    <col min="13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125</v>
      </c>
      <c r="C5" s="14">
        <v>150000</v>
      </c>
      <c r="G5" s="11" t="s">
        <v>9</v>
      </c>
      <c r="H5" s="16">
        <v>1</v>
      </c>
      <c r="I5" s="16">
        <v>2</v>
      </c>
      <c r="J5" s="117">
        <v>3</v>
      </c>
      <c r="M5" s="43"/>
      <c r="N5" s="43"/>
    </row>
    <row r="6" spans="2:14">
      <c r="B6" s="4" t="s">
        <v>129</v>
      </c>
      <c r="C6" s="14">
        <v>100000</v>
      </c>
      <c r="G6" s="4" t="str">
        <f>B5</f>
        <v>Owner</v>
      </c>
      <c r="H6" s="14">
        <f t="shared" ref="H6:H15" si="0">H18*C5</f>
        <v>150000</v>
      </c>
      <c r="I6" s="14">
        <f t="shared" ref="I6:I15" si="1">D58*I18</f>
        <v>154500</v>
      </c>
      <c r="J6" s="14">
        <f t="shared" ref="J6:J15" si="2">E58*J18</f>
        <v>159135</v>
      </c>
      <c r="M6" s="118"/>
      <c r="N6" s="118"/>
    </row>
    <row r="7" spans="2:14">
      <c r="B7" s="4" t="s">
        <v>130</v>
      </c>
      <c r="C7" s="14">
        <v>75000</v>
      </c>
      <c r="G7" s="4" t="str">
        <f>B6</f>
        <v>Operational Managers</v>
      </c>
      <c r="H7" s="14">
        <f t="shared" si="0"/>
        <v>100000</v>
      </c>
      <c r="I7" s="14">
        <f t="shared" si="1"/>
        <v>103000</v>
      </c>
      <c r="J7" s="14">
        <f t="shared" si="2"/>
        <v>106090</v>
      </c>
      <c r="M7" s="118"/>
      <c r="N7" s="118"/>
    </row>
    <row r="8" spans="2:14">
      <c r="B8" s="4" t="s">
        <v>127</v>
      </c>
      <c r="C8" s="14">
        <v>37500</v>
      </c>
      <c r="G8" s="4" t="str">
        <f>B7</f>
        <v>Technicians</v>
      </c>
      <c r="H8" s="14">
        <f t="shared" si="0"/>
        <v>225000</v>
      </c>
      <c r="I8" s="14">
        <f t="shared" si="1"/>
        <v>231750</v>
      </c>
      <c r="J8" s="14">
        <f t="shared" si="2"/>
        <v>238702.5</v>
      </c>
      <c r="M8" s="118"/>
      <c r="N8" s="118"/>
    </row>
    <row r="9" spans="2:14">
      <c r="B9" s="4" t="s">
        <v>124</v>
      </c>
      <c r="C9" s="14">
        <v>45000</v>
      </c>
      <c r="G9" s="4" t="str">
        <f>B8</f>
        <v>Billing Staff</v>
      </c>
      <c r="H9" s="14">
        <f t="shared" si="0"/>
        <v>37500</v>
      </c>
      <c r="I9" s="14">
        <f t="shared" si="1"/>
        <v>38625</v>
      </c>
      <c r="J9" s="14">
        <f t="shared" si="2"/>
        <v>39783.75</v>
      </c>
      <c r="M9" s="118"/>
      <c r="N9" s="118"/>
    </row>
    <row r="10" spans="2:14">
      <c r="B10" s="4" t="s">
        <v>120</v>
      </c>
      <c r="C10" s="14">
        <v>0</v>
      </c>
      <c r="G10" s="4" t="str">
        <f>B9</f>
        <v>Administrative Staff</v>
      </c>
      <c r="H10" s="14">
        <f t="shared" si="0"/>
        <v>90000</v>
      </c>
      <c r="I10" s="14">
        <f t="shared" si="1"/>
        <v>92700</v>
      </c>
      <c r="J10" s="14">
        <f t="shared" si="2"/>
        <v>95481</v>
      </c>
      <c r="M10" s="118"/>
      <c r="N10" s="118"/>
    </row>
    <row r="11" spans="2:14">
      <c r="B11" s="4" t="s">
        <v>132</v>
      </c>
      <c r="C11" s="14">
        <v>0</v>
      </c>
      <c r="G11" s="4" t="str">
        <f>B29</f>
        <v>Position 6</v>
      </c>
      <c r="H11" s="14">
        <f t="shared" si="0"/>
        <v>0</v>
      </c>
      <c r="I11" s="14">
        <f t="shared" si="1"/>
        <v>0</v>
      </c>
      <c r="J11" s="14">
        <f t="shared" si="2"/>
        <v>0</v>
      </c>
      <c r="M11" s="118"/>
      <c r="N11" s="118"/>
    </row>
    <row r="12" spans="2:14">
      <c r="B12" s="4" t="s">
        <v>133</v>
      </c>
      <c r="C12" s="14">
        <v>0</v>
      </c>
      <c r="G12" s="4" t="str">
        <f>B30</f>
        <v>Postion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18"/>
      <c r="N12" s="118"/>
    </row>
    <row r="13" spans="2:14">
      <c r="B13" s="4" t="s">
        <v>134</v>
      </c>
      <c r="C13" s="14"/>
      <c r="G13" s="4" t="str">
        <f>B31</f>
        <v>Postion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18"/>
      <c r="N13" s="118"/>
    </row>
    <row r="14" spans="2:14">
      <c r="B14" s="4" t="s">
        <v>121</v>
      </c>
      <c r="C14" s="14"/>
      <c r="G14" s="4" t="str">
        <f>B32</f>
        <v>Postion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18"/>
      <c r="N14" s="118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18"/>
      <c r="N15" s="118"/>
    </row>
    <row r="16" spans="2:14">
      <c r="G16" s="10" t="s">
        <v>8</v>
      </c>
      <c r="H16" s="9">
        <f>SUM(H6:H15)</f>
        <v>602500</v>
      </c>
      <c r="I16" s="9">
        <f t="shared" ref="I16:J16" si="3">SUM(I6:I15)</f>
        <v>620575</v>
      </c>
      <c r="J16" s="9">
        <f t="shared" si="3"/>
        <v>639192.25</v>
      </c>
      <c r="M16" s="119"/>
      <c r="N16" s="119"/>
    </row>
    <row r="17" spans="2:20">
      <c r="M17" s="30"/>
      <c r="N17" s="30"/>
    </row>
    <row r="18" spans="2:20">
      <c r="G18" s="4" t="str">
        <f>G6</f>
        <v>Owner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Operational Managers</v>
      </c>
      <c r="H19" s="4">
        <f t="shared" si="4"/>
        <v>1</v>
      </c>
      <c r="I19" s="4">
        <f t="shared" si="5"/>
        <v>1</v>
      </c>
      <c r="J19" s="4">
        <f t="shared" si="6"/>
        <v>1</v>
      </c>
      <c r="M19" s="30"/>
      <c r="N19" s="30"/>
    </row>
    <row r="20" spans="2:20">
      <c r="G20" s="4" t="str">
        <f>G8</f>
        <v>Technicians</v>
      </c>
      <c r="H20" s="4">
        <f t="shared" si="4"/>
        <v>3</v>
      </c>
      <c r="I20" s="4">
        <f t="shared" si="5"/>
        <v>3</v>
      </c>
      <c r="J20" s="4">
        <f t="shared" si="6"/>
        <v>3</v>
      </c>
      <c r="M20" s="30"/>
      <c r="N20" s="30"/>
    </row>
    <row r="21" spans="2:20">
      <c r="G21" s="4" t="str">
        <f>G9</f>
        <v>Billing Staff</v>
      </c>
      <c r="H21" s="4">
        <f t="shared" si="4"/>
        <v>1</v>
      </c>
      <c r="I21" s="4">
        <f t="shared" si="5"/>
        <v>1</v>
      </c>
      <c r="J21" s="4">
        <f t="shared" si="6"/>
        <v>1</v>
      </c>
      <c r="M21" s="30"/>
      <c r="N21" s="30"/>
      <c r="O21" s="115"/>
      <c r="P21" s="115"/>
      <c r="Q21" s="115"/>
      <c r="R21" s="115"/>
      <c r="S21" s="115"/>
      <c r="T21" s="115"/>
    </row>
    <row r="22" spans="2:20">
      <c r="B22" s="7" t="s">
        <v>61</v>
      </c>
      <c r="C22" s="3"/>
      <c r="D22" s="3"/>
      <c r="E22" s="3"/>
      <c r="G22" s="4" t="str">
        <f t="shared" ref="G22:G27" si="7">G10</f>
        <v>Administrative Staff</v>
      </c>
      <c r="H22" s="4">
        <f t="shared" si="4"/>
        <v>2</v>
      </c>
      <c r="I22" s="4">
        <f t="shared" si="5"/>
        <v>2</v>
      </c>
      <c r="J22" s="4">
        <f t="shared" si="6"/>
        <v>2</v>
      </c>
      <c r="M22" s="30"/>
      <c r="N22" s="30"/>
      <c r="O22" s="115"/>
      <c r="P22" s="115"/>
      <c r="Q22" s="115"/>
      <c r="R22" s="115"/>
      <c r="S22" s="115"/>
      <c r="T22" s="115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Position 6</v>
      </c>
      <c r="H23" s="4">
        <f t="shared" si="4"/>
        <v>0</v>
      </c>
      <c r="I23" s="4">
        <f t="shared" si="5"/>
        <v>0</v>
      </c>
      <c r="J23" s="4">
        <f t="shared" si="6"/>
        <v>0</v>
      </c>
      <c r="M23" s="30"/>
      <c r="N23" s="30"/>
      <c r="O23" s="115"/>
      <c r="P23" s="115"/>
      <c r="Q23" s="115"/>
      <c r="R23" s="115"/>
      <c r="S23" s="115"/>
      <c r="T23" s="115"/>
    </row>
    <row r="24" spans="2:20">
      <c r="B24" s="15" t="str">
        <f>B5</f>
        <v>Owner</v>
      </c>
      <c r="C24" s="5">
        <v>1</v>
      </c>
      <c r="D24" s="5">
        <v>1</v>
      </c>
      <c r="E24" s="5">
        <v>1</v>
      </c>
      <c r="F24" s="141"/>
      <c r="G24" s="4" t="str">
        <f t="shared" si="7"/>
        <v>Postion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5"/>
      <c r="P24" s="115"/>
      <c r="Q24" s="115"/>
      <c r="R24" s="115"/>
      <c r="S24" s="115"/>
      <c r="T24" s="115"/>
    </row>
    <row r="25" spans="2:20">
      <c r="B25" s="15" t="str">
        <f t="shared" ref="B25:B33" si="8">B6</f>
        <v>Operational Managers</v>
      </c>
      <c r="C25" s="5">
        <v>1</v>
      </c>
      <c r="D25" s="5">
        <v>1</v>
      </c>
      <c r="E25" s="5">
        <v>1</v>
      </c>
      <c r="G25" s="4" t="str">
        <f t="shared" si="7"/>
        <v>Postion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5"/>
      <c r="P25" s="115"/>
      <c r="Q25" s="115"/>
      <c r="R25" s="115"/>
      <c r="S25" s="115"/>
      <c r="T25" s="115"/>
    </row>
    <row r="26" spans="2:20">
      <c r="B26" s="15" t="str">
        <f t="shared" si="8"/>
        <v>Technicians</v>
      </c>
      <c r="C26" s="5">
        <v>3</v>
      </c>
      <c r="D26" s="5">
        <v>3</v>
      </c>
      <c r="E26" s="5">
        <v>3</v>
      </c>
      <c r="F26" s="141"/>
      <c r="G26" s="4" t="str">
        <f t="shared" si="7"/>
        <v>Postion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5"/>
      <c r="P26" s="115"/>
      <c r="Q26" s="115"/>
      <c r="R26" s="115"/>
      <c r="S26" s="115"/>
      <c r="T26" s="115"/>
    </row>
    <row r="27" spans="2:20">
      <c r="B27" s="15" t="str">
        <f t="shared" si="8"/>
        <v>Billing Staff</v>
      </c>
      <c r="C27" s="5">
        <v>1</v>
      </c>
      <c r="D27" s="5">
        <v>1</v>
      </c>
      <c r="E27" s="5">
        <v>1</v>
      </c>
      <c r="F27" s="141"/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5"/>
      <c r="P27" s="115"/>
      <c r="Q27" s="115"/>
      <c r="R27" s="115"/>
      <c r="S27" s="115"/>
      <c r="T27" s="115"/>
    </row>
    <row r="28" spans="2:20">
      <c r="B28" s="15" t="str">
        <f t="shared" si="8"/>
        <v>Administrative Staff</v>
      </c>
      <c r="C28" s="5">
        <v>2</v>
      </c>
      <c r="D28" s="5">
        <v>2</v>
      </c>
      <c r="E28" s="5">
        <v>2</v>
      </c>
      <c r="F28" s="141"/>
      <c r="G28" s="10" t="s">
        <v>8</v>
      </c>
      <c r="H28" s="10">
        <f>SUM(H18:H27)</f>
        <v>8</v>
      </c>
      <c r="I28" s="10">
        <f t="shared" ref="I28:J28" si="9">SUM(I18:I27)</f>
        <v>8</v>
      </c>
      <c r="J28" s="10">
        <f t="shared" si="9"/>
        <v>8</v>
      </c>
      <c r="M28" s="30"/>
      <c r="N28" s="30"/>
      <c r="O28" s="115"/>
      <c r="P28" s="115"/>
      <c r="Q28" s="115"/>
      <c r="R28" s="115"/>
      <c r="S28" s="115"/>
      <c r="T28" s="115"/>
    </row>
    <row r="29" spans="2:20">
      <c r="B29" s="15" t="str">
        <f t="shared" si="8"/>
        <v>Position 6</v>
      </c>
      <c r="C29" s="5"/>
      <c r="D29" s="5"/>
      <c r="E29" s="5"/>
      <c r="L29" s="115"/>
      <c r="M29" s="115"/>
      <c r="N29" s="115"/>
      <c r="O29" s="115"/>
      <c r="P29" s="115"/>
      <c r="Q29" s="115"/>
      <c r="R29" s="115"/>
      <c r="S29" s="115"/>
      <c r="T29" s="115"/>
    </row>
    <row r="30" spans="2:20">
      <c r="B30" s="15" t="str">
        <f t="shared" si="8"/>
        <v>Postion 7</v>
      </c>
      <c r="C30" s="5"/>
      <c r="D30" s="5"/>
      <c r="E30" s="5"/>
      <c r="L30" s="112"/>
      <c r="M30" s="112"/>
      <c r="N30" s="115"/>
      <c r="O30" s="115"/>
      <c r="P30" s="115"/>
      <c r="Q30" s="115"/>
      <c r="R30" s="115"/>
      <c r="S30" s="115"/>
      <c r="T30" s="115"/>
    </row>
    <row r="31" spans="2:20">
      <c r="B31" s="15" t="str">
        <f t="shared" si="8"/>
        <v>Postion 8</v>
      </c>
      <c r="C31" s="5"/>
      <c r="D31" s="5"/>
      <c r="E31" s="5"/>
      <c r="L31" s="112" t="str">
        <f>G6</f>
        <v>Owner</v>
      </c>
      <c r="M31" s="113">
        <f>J6/$J$16</f>
        <v>0.24896265560165975</v>
      </c>
      <c r="N31" s="115"/>
      <c r="O31" s="115"/>
      <c r="P31" s="115"/>
      <c r="Q31" s="115"/>
      <c r="R31" s="115"/>
      <c r="S31" s="115"/>
      <c r="T31" s="115"/>
    </row>
    <row r="32" spans="2:20">
      <c r="B32" s="15" t="str">
        <f t="shared" si="8"/>
        <v>Postion 9</v>
      </c>
      <c r="C32" s="5"/>
      <c r="D32" s="5"/>
      <c r="E32" s="5"/>
      <c r="F32" s="30"/>
      <c r="G32" s="30"/>
      <c r="L32" s="112" t="str">
        <f>G7</f>
        <v>Operational Managers</v>
      </c>
      <c r="M32" s="113">
        <f>J7/$J$16</f>
        <v>0.16597510373443983</v>
      </c>
      <c r="N32" s="115"/>
      <c r="O32" s="115"/>
      <c r="P32" s="115"/>
      <c r="Q32" s="115"/>
      <c r="T32" s="115"/>
    </row>
    <row r="33" spans="2:20">
      <c r="B33" s="15" t="str">
        <f t="shared" si="8"/>
        <v>Position 10</v>
      </c>
      <c r="C33" s="5"/>
      <c r="D33" s="5"/>
      <c r="E33" s="5"/>
      <c r="F33" s="30"/>
      <c r="G33" s="30"/>
      <c r="L33" s="112" t="str">
        <f>G8</f>
        <v>Technicians</v>
      </c>
      <c r="M33" s="113">
        <f>J8/$J$16</f>
        <v>0.37344398340248963</v>
      </c>
      <c r="N33" s="115"/>
      <c r="O33" s="115"/>
      <c r="P33" s="115"/>
      <c r="Q33" s="115"/>
      <c r="T33" s="115"/>
    </row>
    <row r="34" spans="2:20">
      <c r="F34" s="43"/>
      <c r="G34" s="43"/>
      <c r="L34" s="112" t="str">
        <f>G9</f>
        <v>Billing Staff</v>
      </c>
      <c r="M34" s="113">
        <f>J9/$J$16</f>
        <v>6.2240663900414939E-2</v>
      </c>
      <c r="N34" s="115"/>
      <c r="O34" s="115"/>
      <c r="P34" s="115"/>
      <c r="Q34" s="115"/>
      <c r="T34" s="115"/>
    </row>
    <row r="35" spans="2:20">
      <c r="B35" s="7" t="s">
        <v>63</v>
      </c>
      <c r="C35" s="3"/>
      <c r="F35" s="43"/>
      <c r="G35" s="43"/>
      <c r="L35" s="112" t="str">
        <f>G10</f>
        <v>Administrative Staff</v>
      </c>
      <c r="M35" s="113">
        <f>J10/$J$16</f>
        <v>0.14937759336099585</v>
      </c>
      <c r="N35" s="115"/>
      <c r="O35" s="115"/>
      <c r="P35" s="115"/>
      <c r="Q35" s="115"/>
      <c r="T35" s="115"/>
    </row>
    <row r="36" spans="2:20">
      <c r="B36" s="4" t="s">
        <v>64</v>
      </c>
      <c r="C36" s="17">
        <v>0.03</v>
      </c>
      <c r="F36" s="43"/>
      <c r="G36" s="43"/>
      <c r="L36" s="112" t="str">
        <f t="shared" ref="L36:L41" si="10">G11</f>
        <v>Position 6</v>
      </c>
      <c r="M36" s="113">
        <f t="shared" ref="M36:M41" si="11">J11/$J$16</f>
        <v>0</v>
      </c>
      <c r="N36" s="115"/>
      <c r="O36" s="115"/>
      <c r="P36" s="115"/>
      <c r="Q36" s="115"/>
      <c r="T36" s="115"/>
    </row>
    <row r="37" spans="2:20">
      <c r="F37" s="43"/>
      <c r="G37" s="43"/>
      <c r="L37" s="112" t="str">
        <f t="shared" si="10"/>
        <v>Postion 7</v>
      </c>
      <c r="M37" s="113">
        <f t="shared" si="11"/>
        <v>0</v>
      </c>
      <c r="N37" s="115"/>
      <c r="O37" s="115"/>
      <c r="P37" s="115"/>
      <c r="Q37" s="115"/>
      <c r="R37" s="115"/>
      <c r="S37" s="116"/>
      <c r="T37" s="115"/>
    </row>
    <row r="38" spans="2:20">
      <c r="F38" s="43"/>
      <c r="G38" s="43"/>
      <c r="L38" s="112" t="str">
        <f t="shared" si="10"/>
        <v>Postion 8</v>
      </c>
      <c r="M38" s="113">
        <f t="shared" si="11"/>
        <v>0</v>
      </c>
      <c r="N38" s="115"/>
      <c r="O38" s="115"/>
      <c r="P38" s="115"/>
      <c r="Q38" s="112"/>
      <c r="R38" s="112"/>
      <c r="S38" s="113"/>
    </row>
    <row r="39" spans="2:20">
      <c r="F39" s="43"/>
      <c r="G39" s="43"/>
      <c r="L39" s="112" t="str">
        <f t="shared" si="10"/>
        <v>Postion 9</v>
      </c>
      <c r="M39" s="113">
        <f t="shared" si="11"/>
        <v>0</v>
      </c>
      <c r="N39" s="115"/>
      <c r="O39" s="115"/>
      <c r="P39" s="115"/>
      <c r="S39" s="111"/>
    </row>
    <row r="40" spans="2:20">
      <c r="F40" s="43"/>
      <c r="G40" s="43"/>
      <c r="L40" s="112" t="str">
        <f t="shared" si="10"/>
        <v>Position 10</v>
      </c>
      <c r="M40" s="113">
        <f t="shared" si="11"/>
        <v>0</v>
      </c>
      <c r="N40" s="115"/>
      <c r="O40" s="115"/>
      <c r="P40" s="115"/>
    </row>
    <row r="41" spans="2:20">
      <c r="F41" s="43"/>
      <c r="G41" s="43"/>
      <c r="L41" s="112" t="str">
        <f t="shared" si="10"/>
        <v>Total</v>
      </c>
      <c r="M41" s="113">
        <f t="shared" si="11"/>
        <v>1</v>
      </c>
      <c r="N41" s="115"/>
      <c r="O41" s="115"/>
      <c r="P41" s="115"/>
    </row>
    <row r="42" spans="2:20">
      <c r="F42" s="43"/>
      <c r="G42" s="43"/>
    </row>
    <row r="43" spans="2:20">
      <c r="F43" s="43"/>
      <c r="G43" s="43"/>
    </row>
    <row r="44" spans="2:20">
      <c r="F44" s="43"/>
      <c r="G44" s="43"/>
    </row>
    <row r="45" spans="2:20">
      <c r="F45" s="30"/>
      <c r="G45" s="30"/>
    </row>
    <row r="57" spans="2:7">
      <c r="B57" s="7" t="s">
        <v>60</v>
      </c>
      <c r="C57" s="3"/>
    </row>
    <row r="58" spans="2:7">
      <c r="B58" s="4" t="str">
        <f>B5</f>
        <v>Owner</v>
      </c>
      <c r="C58" s="14">
        <f>C5</f>
        <v>150000</v>
      </c>
      <c r="D58" s="14">
        <f t="shared" ref="D58:G67" si="12">C58*(1+$C$36)</f>
        <v>154500</v>
      </c>
      <c r="E58" s="14">
        <f t="shared" si="12"/>
        <v>159135</v>
      </c>
      <c r="F58" s="14">
        <f t="shared" si="12"/>
        <v>163909.05000000002</v>
      </c>
      <c r="G58" s="14">
        <f t="shared" si="12"/>
        <v>168826.32150000002</v>
      </c>
    </row>
    <row r="59" spans="2:7">
      <c r="B59" s="4" t="str">
        <f t="shared" ref="B59:C67" si="13">B6</f>
        <v>Operational Managers</v>
      </c>
      <c r="C59" s="14">
        <f t="shared" si="13"/>
        <v>100000</v>
      </c>
      <c r="D59" s="14">
        <f t="shared" si="12"/>
        <v>103000</v>
      </c>
      <c r="E59" s="14">
        <f t="shared" si="12"/>
        <v>106090</v>
      </c>
      <c r="F59" s="14">
        <f t="shared" si="12"/>
        <v>109272.7</v>
      </c>
      <c r="G59" s="14">
        <f t="shared" si="12"/>
        <v>112550.88099999999</v>
      </c>
    </row>
    <row r="60" spans="2:7">
      <c r="B60" s="4" t="str">
        <f t="shared" si="13"/>
        <v>Technicians</v>
      </c>
      <c r="C60" s="14">
        <f t="shared" si="13"/>
        <v>75000</v>
      </c>
      <c r="D60" s="14">
        <f t="shared" si="12"/>
        <v>77250</v>
      </c>
      <c r="E60" s="14">
        <f t="shared" si="12"/>
        <v>79567.5</v>
      </c>
      <c r="F60" s="14">
        <f t="shared" si="12"/>
        <v>81954.525000000009</v>
      </c>
      <c r="G60" s="14">
        <f t="shared" si="12"/>
        <v>84413.16075000001</v>
      </c>
    </row>
    <row r="61" spans="2:7">
      <c r="B61" s="4" t="str">
        <f t="shared" si="13"/>
        <v>Billing Staff</v>
      </c>
      <c r="C61" s="14">
        <f t="shared" si="13"/>
        <v>37500</v>
      </c>
      <c r="D61" s="14">
        <f t="shared" si="12"/>
        <v>38625</v>
      </c>
      <c r="E61" s="14">
        <f t="shared" si="12"/>
        <v>39783.75</v>
      </c>
      <c r="F61" s="14">
        <f t="shared" si="12"/>
        <v>40977.262500000004</v>
      </c>
      <c r="G61" s="14">
        <f t="shared" si="12"/>
        <v>42206.580375000005</v>
      </c>
    </row>
    <row r="62" spans="2:7">
      <c r="B62" s="4" t="str">
        <f t="shared" si="13"/>
        <v>Administrative Staff</v>
      </c>
      <c r="C62" s="14">
        <f t="shared" si="13"/>
        <v>45000</v>
      </c>
      <c r="D62" s="14">
        <f t="shared" si="12"/>
        <v>46350</v>
      </c>
      <c r="E62" s="14">
        <f t="shared" si="12"/>
        <v>47740.5</v>
      </c>
      <c r="F62" s="14">
        <f t="shared" si="12"/>
        <v>49172.715000000004</v>
      </c>
      <c r="G62" s="14">
        <f t="shared" si="12"/>
        <v>50647.896450000007</v>
      </c>
    </row>
    <row r="63" spans="2:7">
      <c r="B63" s="4" t="str">
        <f t="shared" si="13"/>
        <v>Position 6</v>
      </c>
      <c r="C63" s="14">
        <f t="shared" si="13"/>
        <v>0</v>
      </c>
      <c r="D63" s="14">
        <f t="shared" si="12"/>
        <v>0</v>
      </c>
      <c r="E63" s="14">
        <f t="shared" si="12"/>
        <v>0</v>
      </c>
      <c r="F63" s="14">
        <f t="shared" si="12"/>
        <v>0</v>
      </c>
      <c r="G63" s="14">
        <f t="shared" si="12"/>
        <v>0</v>
      </c>
    </row>
    <row r="64" spans="2:7">
      <c r="B64" s="4" t="str">
        <f t="shared" si="13"/>
        <v>Postion 7</v>
      </c>
      <c r="C64" s="14">
        <f t="shared" si="13"/>
        <v>0</v>
      </c>
      <c r="D64" s="14">
        <f t="shared" si="12"/>
        <v>0</v>
      </c>
      <c r="E64" s="14">
        <f t="shared" si="12"/>
        <v>0</v>
      </c>
      <c r="F64" s="14">
        <f t="shared" si="12"/>
        <v>0</v>
      </c>
      <c r="G64" s="14">
        <f t="shared" si="12"/>
        <v>0</v>
      </c>
    </row>
    <row r="65" spans="2:7">
      <c r="B65" s="4" t="str">
        <f t="shared" si="13"/>
        <v>Postion 8</v>
      </c>
      <c r="C65" s="14">
        <f t="shared" si="13"/>
        <v>0</v>
      </c>
      <c r="D65" s="14">
        <f t="shared" si="12"/>
        <v>0</v>
      </c>
      <c r="E65" s="14">
        <f t="shared" si="12"/>
        <v>0</v>
      </c>
      <c r="F65" s="14">
        <f t="shared" si="12"/>
        <v>0</v>
      </c>
      <c r="G65" s="14">
        <f t="shared" si="12"/>
        <v>0</v>
      </c>
    </row>
    <row r="66" spans="2:7">
      <c r="B66" s="4" t="str">
        <f t="shared" si="13"/>
        <v>Postion 9</v>
      </c>
      <c r="C66" s="14">
        <f t="shared" si="13"/>
        <v>0</v>
      </c>
      <c r="D66" s="14">
        <f t="shared" si="12"/>
        <v>0</v>
      </c>
      <c r="E66" s="14">
        <f t="shared" si="12"/>
        <v>0</v>
      </c>
      <c r="F66" s="14">
        <f t="shared" si="12"/>
        <v>0</v>
      </c>
      <c r="G66" s="14">
        <f t="shared" si="12"/>
        <v>0</v>
      </c>
    </row>
    <row r="67" spans="2:7">
      <c r="B67" s="4" t="str">
        <f t="shared" si="13"/>
        <v>Position 10</v>
      </c>
      <c r="C67" s="14">
        <f t="shared" si="13"/>
        <v>0</v>
      </c>
      <c r="D67" s="14">
        <f t="shared" si="12"/>
        <v>0</v>
      </c>
      <c r="E67" s="14">
        <f t="shared" si="12"/>
        <v>0</v>
      </c>
      <c r="F67" s="14">
        <f t="shared" si="12"/>
        <v>0</v>
      </c>
      <c r="G67" s="14">
        <f t="shared" si="12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J34" sqref="J34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7"/>
      <c r="J4" s="97" t="s">
        <v>9</v>
      </c>
      <c r="K4" s="98">
        <v>1</v>
      </c>
      <c r="L4" s="98">
        <v>2</v>
      </c>
      <c r="M4" s="102">
        <v>3</v>
      </c>
    </row>
    <row r="5" spans="5:13">
      <c r="E5" s="108" t="s">
        <v>55</v>
      </c>
      <c r="F5" s="109">
        <v>0</v>
      </c>
      <c r="G5" s="109">
        <f>Inputs!C46</f>
        <v>0.2</v>
      </c>
      <c r="H5" s="109">
        <f>Inputs!C47</f>
        <v>0.15</v>
      </c>
      <c r="I5" s="126"/>
      <c r="J5" s="108"/>
      <c r="K5" s="109"/>
      <c r="L5" s="109"/>
      <c r="M5" s="109"/>
    </row>
    <row r="6" spans="5:13">
      <c r="E6" s="94" t="str">
        <f>Inputs!B5</f>
        <v>Laboratory Services</v>
      </c>
      <c r="F6" s="94">
        <f>SUM(Inputs!C32:N32)</f>
        <v>1021320</v>
      </c>
      <c r="G6" s="94">
        <f t="shared" ref="G6:H15" si="0">F6*(1+G$5)</f>
        <v>1225584</v>
      </c>
      <c r="H6" s="94">
        <f t="shared" si="0"/>
        <v>1409421.5999999999</v>
      </c>
      <c r="I6" s="128"/>
      <c r="J6" s="94" t="str">
        <f>E6</f>
        <v>Laboratory Services</v>
      </c>
      <c r="K6" s="144">
        <f>F6/$F$16</f>
        <v>0.95238095238095233</v>
      </c>
      <c r="L6" s="144">
        <f>G6/$G$16</f>
        <v>0.95238095238095244</v>
      </c>
      <c r="M6" s="144">
        <f>H6/$H$16</f>
        <v>0.95238095238095233</v>
      </c>
    </row>
    <row r="7" spans="5:13">
      <c r="E7" s="94" t="str">
        <f>Inputs!B6</f>
        <v>Other Income</v>
      </c>
      <c r="F7" s="94">
        <f>SUM(Inputs!C33:N33)</f>
        <v>51066</v>
      </c>
      <c r="G7" s="94">
        <f t="shared" si="0"/>
        <v>61279.199999999997</v>
      </c>
      <c r="H7" s="94">
        <f t="shared" si="0"/>
        <v>70471.079999999987</v>
      </c>
      <c r="I7" s="128"/>
      <c r="J7" s="94" t="str">
        <f t="shared" ref="J7:J15" si="1">E7</f>
        <v>Other Income</v>
      </c>
      <c r="K7" s="144">
        <f t="shared" ref="K7:K15" si="2">F7/$F$16</f>
        <v>4.7619047619047616E-2</v>
      </c>
      <c r="L7" s="144">
        <f t="shared" ref="L7:L15" si="3">G7/$G$16</f>
        <v>4.7619047619047616E-2</v>
      </c>
      <c r="M7" s="144">
        <f t="shared" ref="M7:M15" si="4">H7/$H$16</f>
        <v>4.7619047619047609E-2</v>
      </c>
    </row>
    <row r="8" spans="5:13">
      <c r="E8" s="94" t="str">
        <f>Inputs!B7</f>
        <v>Item 3</v>
      </c>
      <c r="F8" s="94">
        <f>SUM(Inputs!C34:N34)</f>
        <v>0</v>
      </c>
      <c r="G8" s="94">
        <f t="shared" si="0"/>
        <v>0</v>
      </c>
      <c r="H8" s="94">
        <f t="shared" si="0"/>
        <v>0</v>
      </c>
      <c r="I8" s="128"/>
      <c r="J8" s="94" t="str">
        <f t="shared" si="1"/>
        <v>Item 3</v>
      </c>
      <c r="K8" s="144">
        <f t="shared" si="2"/>
        <v>0</v>
      </c>
      <c r="L8" s="144">
        <f t="shared" si="3"/>
        <v>0</v>
      </c>
      <c r="M8" s="144">
        <f t="shared" si="4"/>
        <v>0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28"/>
      <c r="J9" s="94" t="str">
        <f t="shared" si="1"/>
        <v>Item 4</v>
      </c>
      <c r="K9" s="144">
        <f t="shared" si="2"/>
        <v>0</v>
      </c>
      <c r="L9" s="144">
        <f t="shared" si="3"/>
        <v>0</v>
      </c>
      <c r="M9" s="144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28"/>
      <c r="J10" s="94" t="str">
        <f t="shared" si="1"/>
        <v>Item 5</v>
      </c>
      <c r="K10" s="144">
        <f t="shared" si="2"/>
        <v>0</v>
      </c>
      <c r="L10" s="144">
        <f t="shared" si="3"/>
        <v>0</v>
      </c>
      <c r="M10" s="144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28"/>
      <c r="J11" s="94" t="str">
        <f t="shared" si="1"/>
        <v>Item 6</v>
      </c>
      <c r="K11" s="144">
        <f t="shared" si="2"/>
        <v>0</v>
      </c>
      <c r="L11" s="144">
        <f t="shared" si="3"/>
        <v>0</v>
      </c>
      <c r="M11" s="144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28"/>
      <c r="J12" s="94" t="str">
        <f t="shared" si="1"/>
        <v>Item 7</v>
      </c>
      <c r="K12" s="144">
        <f t="shared" si="2"/>
        <v>0</v>
      </c>
      <c r="L12" s="144">
        <f t="shared" si="3"/>
        <v>0</v>
      </c>
      <c r="M12" s="144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28"/>
      <c r="J13" s="94" t="str">
        <f t="shared" si="1"/>
        <v>Item 8</v>
      </c>
      <c r="K13" s="144">
        <f t="shared" si="2"/>
        <v>0</v>
      </c>
      <c r="L13" s="144">
        <f t="shared" si="3"/>
        <v>0</v>
      </c>
      <c r="M13" s="144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28"/>
      <c r="J14" s="94" t="str">
        <f t="shared" si="1"/>
        <v>Item 9</v>
      </c>
      <c r="K14" s="144">
        <f t="shared" si="2"/>
        <v>0</v>
      </c>
      <c r="L14" s="144">
        <f t="shared" si="3"/>
        <v>0</v>
      </c>
      <c r="M14" s="144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28"/>
      <c r="J15" s="94" t="str">
        <f t="shared" si="1"/>
        <v>Item 10</v>
      </c>
      <c r="K15" s="144">
        <f t="shared" si="2"/>
        <v>0</v>
      </c>
      <c r="L15" s="144">
        <f t="shared" si="3"/>
        <v>0</v>
      </c>
      <c r="M15" s="144">
        <f t="shared" si="4"/>
        <v>0</v>
      </c>
    </row>
    <row r="16" spans="5:13">
      <c r="E16" s="99" t="s">
        <v>8</v>
      </c>
      <c r="F16" s="99">
        <f>SUM(F6:F15)</f>
        <v>1072386</v>
      </c>
      <c r="G16" s="99">
        <f>SUM(G6:G15)</f>
        <v>1286863.2</v>
      </c>
      <c r="H16" s="99">
        <f>SUM(H6:H15)</f>
        <v>1479892.68</v>
      </c>
      <c r="I16" s="132"/>
      <c r="J16" s="143"/>
      <c r="K16" s="143"/>
      <c r="L16" s="143"/>
      <c r="M16" s="143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101</v>
      </c>
      <c r="F18" s="65"/>
      <c r="G18" s="65"/>
      <c r="H18" s="65"/>
      <c r="I18" s="63"/>
      <c r="J18" s="142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7"/>
      <c r="J19" s="63"/>
      <c r="K19" s="127"/>
      <c r="L19" s="127"/>
      <c r="M19" s="127"/>
    </row>
    <row r="20" spans="5:13">
      <c r="E20" s="108" t="s">
        <v>55</v>
      </c>
      <c r="F20" s="109">
        <v>0</v>
      </c>
      <c r="G20" s="109">
        <f>G5</f>
        <v>0.2</v>
      </c>
      <c r="H20" s="109">
        <f>H5</f>
        <v>0.15</v>
      </c>
      <c r="I20" s="126"/>
      <c r="K20" s="126"/>
      <c r="L20" s="126"/>
      <c r="M20" s="126"/>
    </row>
    <row r="21" spans="5:13">
      <c r="E21" s="94" t="str">
        <f>E6</f>
        <v>Laboratory Services</v>
      </c>
      <c r="F21" s="94">
        <f>SUM(Inputs!C51:N51)</f>
        <v>51066</v>
      </c>
      <c r="G21" s="94">
        <f t="shared" ref="G21:H30" si="5">F21*(1+G$20)</f>
        <v>61279.199999999997</v>
      </c>
      <c r="H21" s="94">
        <f t="shared" si="5"/>
        <v>70471.079999999987</v>
      </c>
      <c r="I21" s="128"/>
      <c r="J21" s="128"/>
      <c r="K21" s="128"/>
      <c r="L21" s="128"/>
      <c r="M21" s="128"/>
    </row>
    <row r="22" spans="5:13">
      <c r="E22" s="94" t="str">
        <f t="shared" ref="E22:E30" si="6">E7</f>
        <v>Other Income</v>
      </c>
      <c r="F22" s="94">
        <f>SUM(Inputs!C52:N52)</f>
        <v>2553.3000000000002</v>
      </c>
      <c r="G22" s="94">
        <f t="shared" si="5"/>
        <v>3063.96</v>
      </c>
      <c r="H22" s="94">
        <f t="shared" si="5"/>
        <v>3523.5539999999996</v>
      </c>
      <c r="I22" s="128"/>
      <c r="J22" s="128"/>
      <c r="K22" s="128"/>
      <c r="L22" s="128"/>
      <c r="M22" s="128"/>
    </row>
    <row r="23" spans="5:13">
      <c r="E23" s="94" t="str">
        <f t="shared" si="6"/>
        <v>Item 3</v>
      </c>
      <c r="F23" s="94">
        <f>SUM(Inputs!C53:N53)</f>
        <v>0</v>
      </c>
      <c r="G23" s="94">
        <f t="shared" si="5"/>
        <v>0</v>
      </c>
      <c r="H23" s="94">
        <f t="shared" si="5"/>
        <v>0</v>
      </c>
      <c r="I23" s="128"/>
      <c r="J23" s="128"/>
      <c r="K23" s="128"/>
      <c r="L23" s="128"/>
      <c r="M23" s="128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28"/>
      <c r="J24" s="128"/>
      <c r="K24" s="128"/>
      <c r="L24" s="128"/>
      <c r="M24" s="128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28"/>
      <c r="J25" s="128"/>
      <c r="K25" s="128"/>
      <c r="L25" s="128"/>
      <c r="M25" s="128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28"/>
      <c r="J26" s="128"/>
      <c r="K26" s="128"/>
      <c r="L26" s="128"/>
      <c r="M26" s="128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28"/>
      <c r="J27" s="128"/>
      <c r="K27" s="128"/>
      <c r="L27" s="128"/>
      <c r="M27" s="128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28"/>
      <c r="J28" s="128"/>
      <c r="K28" s="128"/>
      <c r="L28" s="128"/>
      <c r="M28" s="128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28"/>
      <c r="J29" s="128"/>
      <c r="K29" s="128"/>
      <c r="L29" s="128"/>
      <c r="M29" s="128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28"/>
      <c r="J30" s="128"/>
      <c r="K30" s="128"/>
      <c r="L30" s="128"/>
      <c r="M30" s="128"/>
    </row>
    <row r="31" spans="5:13">
      <c r="E31" s="100" t="s">
        <v>8</v>
      </c>
      <c r="F31" s="100">
        <f>SUM(F21:F30)</f>
        <v>53619.3</v>
      </c>
      <c r="G31" s="100">
        <f>SUM(G21:G30)</f>
        <v>64343.159999999996</v>
      </c>
      <c r="H31" s="100">
        <f>SUM(H21:H30)</f>
        <v>73994.633999999991</v>
      </c>
      <c r="I31" s="128"/>
      <c r="J31" s="128"/>
      <c r="K31" s="128"/>
      <c r="L31" s="128"/>
      <c r="M31" s="128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E51"/>
  <sheetViews>
    <sheetView showGridLines="0" topLeftCell="C1" workbookViewId="0">
      <selection activeCell="E21" sqref="E21:E23"/>
    </sheetView>
  </sheetViews>
  <sheetFormatPr defaultRowHeight="15"/>
  <cols>
    <col min="4" max="4" width="34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131</v>
      </c>
      <c r="E6" s="6">
        <v>200000</v>
      </c>
    </row>
    <row r="7" spans="4:5">
      <c r="D7" s="21" t="s">
        <v>116</v>
      </c>
      <c r="E7" s="6">
        <v>25000</v>
      </c>
    </row>
    <row r="8" spans="4:5">
      <c r="D8" s="21" t="s">
        <v>115</v>
      </c>
      <c r="E8" s="6">
        <v>35000</v>
      </c>
    </row>
    <row r="9" spans="4:5">
      <c r="D9" s="21" t="s">
        <v>0</v>
      </c>
      <c r="E9" s="6">
        <v>40000</v>
      </c>
    </row>
    <row r="10" spans="4:5">
      <c r="D10" s="21"/>
      <c r="E10" s="6"/>
    </row>
    <row r="11" spans="4:5">
      <c r="D11" s="21"/>
      <c r="E11" s="6"/>
    </row>
    <row r="12" spans="4:5">
      <c r="D12" s="21"/>
      <c r="E12" s="6"/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300000</v>
      </c>
    </row>
    <row r="20" spans="4:5">
      <c r="D20" s="7" t="s">
        <v>97</v>
      </c>
      <c r="E20" s="3"/>
    </row>
    <row r="21" spans="4:5">
      <c r="D21" s="4" t="s">
        <v>98</v>
      </c>
      <c r="E21" s="14">
        <v>50000</v>
      </c>
    </row>
    <row r="22" spans="4:5">
      <c r="D22" s="4" t="s">
        <v>99</v>
      </c>
      <c r="E22" s="14">
        <v>250000</v>
      </c>
    </row>
    <row r="23" spans="4:5">
      <c r="D23" s="4" t="s">
        <v>100</v>
      </c>
      <c r="E23" s="14">
        <f>SUM(E21:E22)</f>
        <v>300000</v>
      </c>
    </row>
    <row r="27" spans="4:5">
      <c r="D27" s="112"/>
    </row>
    <row r="28" spans="4:5">
      <c r="D28" s="121"/>
      <c r="E28" s="1"/>
    </row>
    <row r="29" spans="4:5">
      <c r="D29" s="121"/>
      <c r="E29" s="1"/>
    </row>
    <row r="30" spans="4:5">
      <c r="D30" s="121"/>
      <c r="E30" s="1"/>
    </row>
    <row r="31" spans="4:5">
      <c r="D31" s="121"/>
      <c r="E31" s="1"/>
    </row>
    <row r="32" spans="4:5">
      <c r="D32" s="121"/>
      <c r="E32" s="1"/>
    </row>
    <row r="33" spans="4:5">
      <c r="D33" s="121"/>
      <c r="E33" s="1"/>
    </row>
    <row r="34" spans="4:5">
      <c r="D34" s="121"/>
      <c r="E34" s="1"/>
    </row>
    <row r="35" spans="4:5">
      <c r="D35" s="121"/>
      <c r="E35" s="1"/>
    </row>
    <row r="36" spans="4:5">
      <c r="D36" s="121"/>
      <c r="E36" s="1"/>
    </row>
    <row r="37" spans="4:5">
      <c r="D37" s="121"/>
      <c r="E37" s="1"/>
    </row>
    <row r="38" spans="4:5">
      <c r="D38" s="122"/>
      <c r="E38" s="123"/>
    </row>
    <row r="40" spans="4:5">
      <c r="D40" s="112"/>
    </row>
    <row r="41" spans="4:5">
      <c r="D41" s="121"/>
      <c r="E41" s="1"/>
    </row>
    <row r="42" spans="4:5">
      <c r="D42" s="121"/>
      <c r="E42" s="1"/>
    </row>
    <row r="43" spans="4:5">
      <c r="D43" s="121"/>
      <c r="E43" s="1"/>
    </row>
    <row r="44" spans="4:5">
      <c r="D44" s="121"/>
      <c r="E44" s="1"/>
    </row>
    <row r="45" spans="4:5">
      <c r="D45" s="121"/>
      <c r="E45" s="1"/>
    </row>
    <row r="46" spans="4:5">
      <c r="D46" s="121"/>
      <c r="E46" s="1"/>
    </row>
    <row r="47" spans="4:5">
      <c r="D47" s="121"/>
      <c r="E47" s="1"/>
    </row>
    <row r="48" spans="4:5">
      <c r="D48" s="121"/>
      <c r="E48" s="1"/>
    </row>
    <row r="49" spans="4:5">
      <c r="D49" s="121"/>
      <c r="E49" s="1"/>
    </row>
    <row r="50" spans="4:5">
      <c r="D50" s="121"/>
      <c r="E50" s="1"/>
    </row>
    <row r="51" spans="4:5">
      <c r="D51" s="122"/>
      <c r="E51" s="12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topLeftCell="A3" workbookViewId="0">
      <selection activeCell="G32" sqref="G32"/>
    </sheetView>
  </sheetViews>
  <sheetFormatPr defaultRowHeight="15"/>
  <cols>
    <col min="4" max="4" width="30.855468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5"/>
      <c r="I5" s="13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4:21">
      <c r="D6" s="68" t="s">
        <v>51</v>
      </c>
      <c r="E6" s="69">
        <f>'Revenue Overview'!F16</f>
        <v>1072386</v>
      </c>
      <c r="F6" s="69">
        <f>'Revenue Overview'!G16</f>
        <v>1286863.2</v>
      </c>
      <c r="G6" s="81">
        <f>'Revenue Overview'!H16</f>
        <v>1479892.68</v>
      </c>
      <c r="H6" s="136"/>
      <c r="I6" s="136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4:21">
      <c r="D7" s="70" t="s">
        <v>52</v>
      </c>
      <c r="E7" s="71">
        <f>'Revenue Overview'!F31</f>
        <v>53619.3</v>
      </c>
      <c r="F7" s="71">
        <f>'Revenue Overview'!G31</f>
        <v>64343.159999999996</v>
      </c>
      <c r="G7" s="80">
        <f>'Revenue Overview'!H31</f>
        <v>73994.633999999991</v>
      </c>
      <c r="H7" s="137"/>
      <c r="I7" s="137"/>
      <c r="J7" s="115"/>
      <c r="K7" s="112" t="s">
        <v>51</v>
      </c>
      <c r="L7" s="114">
        <f>E6</f>
        <v>1072386</v>
      </c>
      <c r="M7" s="114">
        <f>F6</f>
        <v>1286863.2</v>
      </c>
      <c r="N7" s="114">
        <f>G6</f>
        <v>1479892.68</v>
      </c>
      <c r="O7" s="114"/>
      <c r="P7" s="138"/>
      <c r="Q7" s="115"/>
      <c r="R7" s="115"/>
      <c r="S7" s="115"/>
      <c r="T7" s="115"/>
      <c r="U7" s="115"/>
    </row>
    <row r="8" spans="4:21">
      <c r="D8" s="72" t="s">
        <v>12</v>
      </c>
      <c r="E8" s="73">
        <f>1-(E7/E6)</f>
        <v>0.95</v>
      </c>
      <c r="F8" s="73">
        <f t="shared" ref="F8:G8" si="0">1-(F7/F6)</f>
        <v>0.95</v>
      </c>
      <c r="G8" s="134">
        <f t="shared" si="0"/>
        <v>0.95</v>
      </c>
      <c r="H8" s="139"/>
      <c r="I8" s="139"/>
      <c r="J8" s="115"/>
      <c r="K8" s="112" t="s">
        <v>76</v>
      </c>
      <c r="L8" s="114">
        <f>E6</f>
        <v>1072386</v>
      </c>
      <c r="M8" s="114">
        <f>F6</f>
        <v>1286863.2</v>
      </c>
      <c r="N8" s="114">
        <f>G6</f>
        <v>1479892.68</v>
      </c>
      <c r="O8" s="114"/>
      <c r="P8" s="138"/>
      <c r="Q8" s="115"/>
      <c r="R8" s="115"/>
      <c r="S8" s="115"/>
      <c r="T8" s="115"/>
      <c r="U8" s="115"/>
    </row>
    <row r="9" spans="4:21">
      <c r="D9" s="74"/>
      <c r="E9" s="74"/>
      <c r="F9" s="74"/>
      <c r="G9" s="74"/>
      <c r="H9" s="140"/>
      <c r="I9" s="140"/>
      <c r="J9" s="115"/>
      <c r="K9" s="112"/>
      <c r="L9" s="114"/>
      <c r="M9" s="114"/>
      <c r="N9" s="114"/>
      <c r="O9" s="114"/>
      <c r="P9" s="138"/>
      <c r="Q9" s="115"/>
      <c r="R9" s="115"/>
      <c r="S9" s="115"/>
      <c r="T9" s="115"/>
      <c r="U9" s="115"/>
    </row>
    <row r="10" spans="4:21">
      <c r="D10" s="75" t="s">
        <v>10</v>
      </c>
      <c r="E10" s="76">
        <f>E6-E7</f>
        <v>1018766.7</v>
      </c>
      <c r="F10" s="76">
        <f t="shared" ref="F10:G10" si="1">F6-F7</f>
        <v>1222520.04</v>
      </c>
      <c r="G10" s="84">
        <f t="shared" si="1"/>
        <v>1405898.0459999999</v>
      </c>
      <c r="H10" s="136"/>
      <c r="I10" s="136"/>
      <c r="J10" s="115"/>
      <c r="K10" s="112" t="s">
        <v>47</v>
      </c>
      <c r="L10" s="114">
        <f>E23</f>
        <v>241930.0906</v>
      </c>
      <c r="M10" s="114">
        <f>F23</f>
        <v>413437.42122000002</v>
      </c>
      <c r="N10" s="114">
        <f>G23</f>
        <v>564406.17690299987</v>
      </c>
      <c r="O10" s="114"/>
      <c r="P10" s="138"/>
      <c r="Q10" s="115"/>
      <c r="R10" s="115"/>
      <c r="S10" s="115"/>
      <c r="T10" s="115"/>
      <c r="U10" s="115"/>
    </row>
    <row r="11" spans="4:21">
      <c r="D11" s="74"/>
      <c r="E11" s="74"/>
      <c r="F11" s="74"/>
      <c r="G11" s="74"/>
      <c r="H11" s="140"/>
      <c r="I11" s="140"/>
      <c r="J11" s="115"/>
      <c r="K11" s="112" t="s">
        <v>77</v>
      </c>
      <c r="L11" s="114">
        <f>L10</f>
        <v>241930.0906</v>
      </c>
      <c r="M11" s="114">
        <f t="shared" ref="M11:N11" si="2">M10</f>
        <v>413437.42122000002</v>
      </c>
      <c r="N11" s="114">
        <f t="shared" si="2"/>
        <v>564406.17690299987</v>
      </c>
      <c r="O11" s="114"/>
      <c r="P11" s="138"/>
      <c r="Q11" s="115"/>
      <c r="R11" s="115"/>
      <c r="S11" s="115"/>
      <c r="T11" s="115"/>
      <c r="U11" s="115"/>
    </row>
    <row r="12" spans="4:21">
      <c r="D12" s="74" t="s">
        <v>13</v>
      </c>
      <c r="E12" s="74"/>
      <c r="F12" s="74"/>
      <c r="G12" s="74"/>
      <c r="H12" s="140"/>
      <c r="I12" s="140"/>
      <c r="J12" s="115"/>
      <c r="K12" s="112"/>
      <c r="L12" s="112"/>
      <c r="M12" s="112"/>
      <c r="N12" s="112"/>
      <c r="O12" s="112"/>
      <c r="P12" s="115"/>
      <c r="Q12" s="115"/>
      <c r="R12" s="115"/>
      <c r="S12" s="115"/>
      <c r="T12" s="115"/>
      <c r="U12" s="115"/>
    </row>
    <row r="13" spans="4:21">
      <c r="D13" s="77" t="s">
        <v>53</v>
      </c>
      <c r="E13" s="78">
        <f>'Personnel - Editable'!H16</f>
        <v>602500</v>
      </c>
      <c r="F13" s="78">
        <f>'Personnel - Editable'!I16</f>
        <v>620575</v>
      </c>
      <c r="G13" s="78">
        <f>'Personnel - Editable'!J16</f>
        <v>639192.25</v>
      </c>
      <c r="H13" s="137"/>
      <c r="I13" s="137"/>
      <c r="J13" s="115"/>
      <c r="K13" s="112" t="s">
        <v>75</v>
      </c>
      <c r="L13" s="114">
        <f>E21</f>
        <v>776836.60939999996</v>
      </c>
      <c r="M13" s="114">
        <f>F21</f>
        <v>809082.61878000002</v>
      </c>
      <c r="N13" s="114">
        <f>G21</f>
        <v>841491.86909699999</v>
      </c>
      <c r="O13" s="114"/>
      <c r="P13" s="138"/>
      <c r="Q13" s="115"/>
      <c r="R13" s="115"/>
      <c r="S13" s="115"/>
      <c r="T13" s="115"/>
      <c r="U13" s="115"/>
    </row>
    <row r="14" spans="4:21">
      <c r="D14" s="79" t="str">
        <f>Inputs!B18</f>
        <v>Facility Costs</v>
      </c>
      <c r="E14" s="80">
        <f>Inputs!C18</f>
        <v>42590</v>
      </c>
      <c r="F14" s="80">
        <f>Inputs!D18</f>
        <v>43867.700000000004</v>
      </c>
      <c r="G14" s="80">
        <f>Inputs!E18</f>
        <v>45183.731000000007</v>
      </c>
      <c r="H14" s="137"/>
      <c r="I14" s="137"/>
      <c r="J14" s="115"/>
      <c r="K14" s="112" t="s">
        <v>78</v>
      </c>
      <c r="L14" s="114">
        <f>E21</f>
        <v>776836.60939999996</v>
      </c>
      <c r="M14" s="114">
        <f>F21</f>
        <v>809082.61878000002</v>
      </c>
      <c r="N14" s="114">
        <f>G21</f>
        <v>841491.86909699999</v>
      </c>
      <c r="O14" s="114"/>
      <c r="P14" s="138"/>
      <c r="Q14" s="115"/>
      <c r="R14" s="115"/>
      <c r="S14" s="115"/>
      <c r="T14" s="115"/>
      <c r="U14" s="115"/>
    </row>
    <row r="15" spans="4:21">
      <c r="D15" s="106" t="str">
        <f>Inputs!B19</f>
        <v>General and Administrative</v>
      </c>
      <c r="E15" s="78">
        <f>Inputs!C19</f>
        <v>16836.460199999998</v>
      </c>
      <c r="F15" s="78">
        <f>Inputs!D19</f>
        <v>20203.752239999998</v>
      </c>
      <c r="G15" s="78">
        <f>Inputs!E19</f>
        <v>23234.315075999995</v>
      </c>
      <c r="H15" s="137"/>
      <c r="I15" s="137"/>
      <c r="J15" s="115"/>
      <c r="K15" s="112"/>
      <c r="L15" s="112"/>
      <c r="M15" s="112"/>
      <c r="N15" s="112"/>
      <c r="O15" s="112"/>
      <c r="P15" s="115"/>
      <c r="Q15" s="115"/>
      <c r="R15" s="115"/>
      <c r="S15" s="115"/>
      <c r="T15" s="115"/>
      <c r="U15" s="115"/>
    </row>
    <row r="16" spans="4:21">
      <c r="D16" s="79" t="str">
        <f>Inputs!B20</f>
        <v>Equipment Costs</v>
      </c>
      <c r="E16" s="80">
        <f>Inputs!C20</f>
        <v>16300.2672</v>
      </c>
      <c r="F16" s="80">
        <f>Inputs!D20</f>
        <v>19560.320639999998</v>
      </c>
      <c r="G16" s="80">
        <f>Inputs!E20</f>
        <v>22494.368736</v>
      </c>
      <c r="H16" s="137"/>
      <c r="I16" s="137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4:21">
      <c r="D17" s="106" t="str">
        <f>Inputs!B21</f>
        <v>Insurance Costs</v>
      </c>
      <c r="E17" s="78">
        <f>Inputs!C21</f>
        <v>36150</v>
      </c>
      <c r="F17" s="78">
        <f>Inputs!D21</f>
        <v>37234.5</v>
      </c>
      <c r="G17" s="78">
        <f>Inputs!E21</f>
        <v>38351.534999999996</v>
      </c>
      <c r="H17" s="137"/>
      <c r="I17" s="137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4:21">
      <c r="D18" s="79" t="str">
        <f>Inputs!B22</f>
        <v>Marketing</v>
      </c>
      <c r="E18" s="80">
        <f>Inputs!C22</f>
        <v>12868.632</v>
      </c>
      <c r="F18" s="80">
        <f>Inputs!D22</f>
        <v>15442.358399999999</v>
      </c>
      <c r="G18" s="80">
        <f>Inputs!E22</f>
        <v>17758.712159999999</v>
      </c>
      <c r="H18" s="137"/>
      <c r="I18" s="137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4:21">
      <c r="D19" s="106" t="str">
        <f>Inputs!B23</f>
        <v>Professional Fees and Licensure</v>
      </c>
      <c r="E19" s="78">
        <f>Inputs!C23</f>
        <v>3500</v>
      </c>
      <c r="F19" s="78">
        <f>Inputs!D23</f>
        <v>4725</v>
      </c>
      <c r="G19" s="78">
        <f>Inputs!E23</f>
        <v>6378.75</v>
      </c>
      <c r="H19" s="137"/>
      <c r="I19" s="137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4:21">
      <c r="D20" s="79" t="s">
        <v>14</v>
      </c>
      <c r="E20" s="80">
        <f>E13*'Tax Assumptions '!F9</f>
        <v>46091.25</v>
      </c>
      <c r="F20" s="80">
        <f>F13*'Tax Assumptions '!G9</f>
        <v>47473.987499999996</v>
      </c>
      <c r="G20" s="80">
        <f>G13*'Tax Assumptions '!H9</f>
        <v>48898.207125000001</v>
      </c>
      <c r="H20" s="137"/>
      <c r="I20" s="137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</row>
    <row r="21" spans="4:21">
      <c r="D21" s="68" t="s">
        <v>75</v>
      </c>
      <c r="E21" s="81">
        <f>SUM(E13:E20)</f>
        <v>776836.60939999996</v>
      </c>
      <c r="F21" s="81">
        <f t="shared" ref="F21:G21" si="3">SUM(F13:F20)</f>
        <v>809082.61878000002</v>
      </c>
      <c r="G21" s="81">
        <f t="shared" si="3"/>
        <v>841491.86909699999</v>
      </c>
      <c r="H21" s="136"/>
      <c r="I21" s="136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4:21">
      <c r="D22" s="74"/>
      <c r="E22" s="74"/>
      <c r="F22" s="74"/>
      <c r="G22" s="74"/>
      <c r="H22" s="140"/>
      <c r="I22" s="140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4:21">
      <c r="D23" s="82" t="s">
        <v>47</v>
      </c>
      <c r="E23" s="83">
        <f>E10-E21</f>
        <v>241930.0906</v>
      </c>
      <c r="F23" s="83">
        <f t="shared" ref="F23:G23" si="4">F10-F21</f>
        <v>413437.42122000002</v>
      </c>
      <c r="G23" s="83">
        <f t="shared" si="4"/>
        <v>564406.17690299987</v>
      </c>
      <c r="H23" s="136"/>
      <c r="I23" s="136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4:21">
      <c r="D24" s="72" t="s">
        <v>15</v>
      </c>
      <c r="E24" s="78">
        <f>(E23-E26-E27)*'Tax Assumptions '!F7</f>
        <v>52521.459635613392</v>
      </c>
      <c r="F24" s="78">
        <f>(F23-F26-F27)*'Tax Assumptions '!G7</f>
        <v>95777.23651216671</v>
      </c>
      <c r="G24" s="78">
        <f>(G23-G26-G27)*'Tax Assumptions '!H7</f>
        <v>133933.91723628427</v>
      </c>
      <c r="H24" s="137"/>
      <c r="I24" s="137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</row>
    <row r="25" spans="4:21">
      <c r="D25" s="70" t="s">
        <v>102</v>
      </c>
      <c r="E25" s="80">
        <f>(E23-E26-E27)*'Tax Assumptions '!F8</f>
        <v>10504.291927122678</v>
      </c>
      <c r="F25" s="80">
        <f>(F23-F26-F27)*'Tax Assumptions '!G8</f>
        <v>19155.447302433342</v>
      </c>
      <c r="G25" s="80">
        <f>(G23-G26-G27)*'Tax Assumptions '!H8</f>
        <v>26786.783447256854</v>
      </c>
      <c r="H25" s="137"/>
      <c r="I25" s="137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</row>
    <row r="26" spans="4:21">
      <c r="D26" s="72" t="s">
        <v>16</v>
      </c>
      <c r="E26" s="78">
        <f>SUM('Loan Amortization Table'!D14:D25)</f>
        <v>21844.252057546426</v>
      </c>
      <c r="F26" s="78">
        <f>SUM('Loan Amortization Table'!D26:D37)</f>
        <v>20328.475171333168</v>
      </c>
      <c r="G26" s="78">
        <f>SUM('Loan Amortization Table'!D38:D49)</f>
        <v>18670.507957862861</v>
      </c>
      <c r="H26" s="128"/>
      <c r="I26" s="128"/>
    </row>
    <row r="27" spans="4:21">
      <c r="D27" s="70" t="s">
        <v>54</v>
      </c>
      <c r="E27" s="80">
        <v>10000</v>
      </c>
      <c r="F27" s="80">
        <v>10000</v>
      </c>
      <c r="G27" s="80">
        <v>10000</v>
      </c>
      <c r="H27" s="128"/>
      <c r="I27" s="128"/>
    </row>
    <row r="28" spans="4:21">
      <c r="D28" s="82" t="s">
        <v>17</v>
      </c>
      <c r="E28" s="83">
        <f>E23-SUM(E24:E27)</f>
        <v>147060.08697971748</v>
      </c>
      <c r="F28" s="83">
        <f t="shared" ref="F28:G28" si="5">F23-SUM(F24:F27)</f>
        <v>268176.26223406679</v>
      </c>
      <c r="G28" s="83">
        <f t="shared" si="5"/>
        <v>375014.96826159587</v>
      </c>
      <c r="H28" s="132"/>
      <c r="I28" s="132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27"/>
      <c r="I31" s="127"/>
      <c r="K31" s="1"/>
      <c r="L31" s="1"/>
      <c r="M31" s="1"/>
    </row>
    <row r="32" spans="4:21">
      <c r="D32" s="68" t="s">
        <v>51</v>
      </c>
      <c r="E32" s="69">
        <f>E6</f>
        <v>1072386</v>
      </c>
      <c r="F32" s="69">
        <f t="shared" ref="F32:G32" si="6">F6</f>
        <v>1286863.2</v>
      </c>
      <c r="G32" s="81">
        <f t="shared" si="6"/>
        <v>1479892.68</v>
      </c>
      <c r="H32" s="132"/>
      <c r="I32" s="132"/>
    </row>
    <row r="33" spans="4:13">
      <c r="D33" s="70" t="s">
        <v>52</v>
      </c>
      <c r="E33" s="71">
        <f>E7</f>
        <v>53619.3</v>
      </c>
      <c r="F33" s="71">
        <f t="shared" ref="F33:G33" si="7">F7</f>
        <v>64343.159999999996</v>
      </c>
      <c r="G33" s="80">
        <f t="shared" si="7"/>
        <v>73994.633999999991</v>
      </c>
      <c r="H33" s="128"/>
      <c r="I33" s="128"/>
    </row>
    <row r="34" spans="4:13">
      <c r="D34" s="68" t="s">
        <v>10</v>
      </c>
      <c r="E34" s="69">
        <f>E10</f>
        <v>1018766.7</v>
      </c>
      <c r="F34" s="69">
        <f t="shared" ref="F34:G34" si="8">F10</f>
        <v>1222520.04</v>
      </c>
      <c r="G34" s="81">
        <f t="shared" si="8"/>
        <v>1405898.0459999999</v>
      </c>
      <c r="H34" s="132"/>
      <c r="I34" s="132"/>
      <c r="K34" s="1"/>
      <c r="L34" s="1"/>
      <c r="M34" s="1"/>
    </row>
    <row r="35" spans="4:13">
      <c r="D35" s="75" t="s">
        <v>13</v>
      </c>
      <c r="E35" s="84">
        <f>E21</f>
        <v>776836.60939999996</v>
      </c>
      <c r="F35" s="84">
        <f t="shared" ref="F35:G35" si="9">F21</f>
        <v>809082.61878000002</v>
      </c>
      <c r="G35" s="84">
        <f t="shared" si="9"/>
        <v>841491.86909699999</v>
      </c>
      <c r="H35" s="132"/>
      <c r="I35" s="132"/>
    </row>
    <row r="36" spans="4:13">
      <c r="D36" s="82" t="s">
        <v>47</v>
      </c>
      <c r="E36" s="83">
        <f>E23</f>
        <v>241930.0906</v>
      </c>
      <c r="F36" s="83">
        <f t="shared" ref="F36:G36" si="10">F23</f>
        <v>413437.42122000002</v>
      </c>
      <c r="G36" s="83">
        <f t="shared" si="10"/>
        <v>564406.17690299987</v>
      </c>
      <c r="H36" s="132"/>
      <c r="I36" s="132"/>
    </row>
    <row r="38" spans="4:13">
      <c r="D38" s="115"/>
      <c r="E38" s="115"/>
      <c r="F38" s="115"/>
      <c r="G38" s="115"/>
    </row>
    <row r="39" spans="4:13">
      <c r="D39" s="115"/>
      <c r="E39" s="115"/>
      <c r="F39" s="115"/>
      <c r="G39" s="115"/>
    </row>
    <row r="40" spans="4:13">
      <c r="D40" s="115"/>
      <c r="E40" s="115"/>
      <c r="F40" s="115"/>
      <c r="G40" s="115"/>
    </row>
    <row r="41" spans="4:13">
      <c r="D41" s="115"/>
      <c r="E41" s="115"/>
      <c r="F41" s="115"/>
      <c r="G41" s="115"/>
    </row>
    <row r="42" spans="4:13">
      <c r="D42" s="115"/>
      <c r="E42" s="115"/>
      <c r="F42" s="115"/>
      <c r="G42" s="115"/>
    </row>
    <row r="43" spans="4:13">
      <c r="D43" s="115"/>
      <c r="E43" s="115"/>
      <c r="F43" s="115"/>
      <c r="G43" s="115"/>
    </row>
    <row r="44" spans="4:13">
      <c r="D44" s="115"/>
      <c r="E44" s="115"/>
      <c r="F44" s="115"/>
      <c r="G44" s="115"/>
    </row>
    <row r="45" spans="4:13">
      <c r="D45" s="115"/>
      <c r="E45" s="115"/>
      <c r="F45" s="115"/>
      <c r="G45" s="115"/>
    </row>
    <row r="46" spans="4:13">
      <c r="D46" s="115"/>
      <c r="E46" s="115"/>
      <c r="F46" s="115"/>
      <c r="G46" s="115"/>
    </row>
  </sheetData>
  <sheetProtection algorithmName="SHA-512" hashValue="aEZVRoSelyzXaKVaoN3BvukcM35r9UFTiBTJlGlVMzn2kiUB/OZd1wSnVDhix/xTv67VOLQ6VLjmSw7OvfOd4Q==" saltValue="64szs0cijWMm5SKMRITOsg==" spinCount="100000" sheet="1" scenarios="1"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workbookViewId="0">
      <selection activeCell="D4" sqref="D4"/>
    </sheetView>
  </sheetViews>
  <sheetFormatPr defaultRowHeight="15"/>
  <cols>
    <col min="4" max="4" width="23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27"/>
      <c r="I5" s="127"/>
    </row>
    <row r="6" spans="4:9">
      <c r="D6" s="68" t="s">
        <v>67</v>
      </c>
      <c r="E6" s="81">
        <f>'Profit and Loss Statement'!E28+'Profit and Loss Statement'!E27</f>
        <v>157060.08697971748</v>
      </c>
      <c r="F6" s="81">
        <f>'Profit and Loss Statement'!F28+'Profit and Loss Statement'!F27</f>
        <v>278176.26223406679</v>
      </c>
      <c r="G6" s="81">
        <f>'Profit and Loss Statement'!G28+'Profit and Loss Statement'!G27</f>
        <v>385014.96826159587</v>
      </c>
      <c r="H6" s="132"/>
      <c r="I6" s="132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50000</v>
      </c>
      <c r="F9" s="87">
        <v>0</v>
      </c>
      <c r="G9" s="87">
        <v>0</v>
      </c>
      <c r="H9" s="131"/>
      <c r="I9" s="131"/>
    </row>
    <row r="10" spans="4:9">
      <c r="D10" s="70" t="s">
        <v>21</v>
      </c>
      <c r="E10" s="88">
        <f>'Use of Funds'!E22</f>
        <v>250000</v>
      </c>
      <c r="F10" s="88">
        <v>0</v>
      </c>
      <c r="G10" s="88">
        <v>0</v>
      </c>
      <c r="H10" s="131"/>
      <c r="I10" s="131"/>
    </row>
    <row r="11" spans="4:9">
      <c r="D11" s="72" t="s">
        <v>22</v>
      </c>
      <c r="E11" s="78">
        <v>8502</v>
      </c>
      <c r="F11" s="78">
        <f>E11*1.02</f>
        <v>8672.0400000000009</v>
      </c>
      <c r="G11" s="78">
        <f>F11*1.02</f>
        <v>8845.4808000000012</v>
      </c>
      <c r="H11" s="128"/>
      <c r="I11" s="128"/>
    </row>
    <row r="12" spans="4:9">
      <c r="D12" s="75" t="s">
        <v>23</v>
      </c>
      <c r="E12" s="89">
        <f>SUM(E9:E11)</f>
        <v>308502</v>
      </c>
      <c r="F12" s="89">
        <f t="shared" ref="F12:G12" si="0">SUM(F9:F11)</f>
        <v>8672.0400000000009</v>
      </c>
      <c r="G12" s="89">
        <f t="shared" si="0"/>
        <v>8845.4808000000012</v>
      </c>
      <c r="H12" s="133"/>
      <c r="I12" s="133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465562.08697971748</v>
      </c>
      <c r="F15" s="90">
        <f t="shared" ref="F15:G15" si="1">F12+F6</f>
        <v>286848.30223406677</v>
      </c>
      <c r="G15" s="90">
        <f t="shared" si="1"/>
        <v>393860.44906159589</v>
      </c>
      <c r="H15" s="133"/>
      <c r="I15" s="133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16158.48006752842</v>
      </c>
      <c r="F18" s="80">
        <f>SUM('Loan Amortization Table'!C26:C37)</f>
        <v>17674.256953741678</v>
      </c>
      <c r="G18" s="80">
        <f>SUM('Loan Amortization Table'!C38:C49)</f>
        <v>19332.224167211985</v>
      </c>
      <c r="H18" s="128"/>
      <c r="I18" s="128"/>
    </row>
    <row r="19" spans="4:9">
      <c r="D19" s="72" t="s">
        <v>25</v>
      </c>
      <c r="E19" s="78">
        <f>E11*0.7</f>
        <v>5951.4</v>
      </c>
      <c r="F19" s="78">
        <f t="shared" ref="F19:G19" si="2">F11*0.7</f>
        <v>6070.4279999999999</v>
      </c>
      <c r="G19" s="78">
        <f t="shared" si="2"/>
        <v>6191.8365600000006</v>
      </c>
      <c r="H19" s="128"/>
      <c r="I19" s="128"/>
    </row>
    <row r="20" spans="4:9">
      <c r="D20" s="70" t="s">
        <v>33</v>
      </c>
      <c r="E20" s="80">
        <f>'Use of Funds'!$E$6</f>
        <v>200000</v>
      </c>
      <c r="F20" s="80">
        <f>F6*0.05</f>
        <v>13908.813111703341</v>
      </c>
      <c r="G20" s="80">
        <f>G6*0.05</f>
        <v>19250.748413079793</v>
      </c>
      <c r="H20" s="128"/>
      <c r="I20" s="128"/>
    </row>
    <row r="21" spans="4:9">
      <c r="D21" s="72" t="s">
        <v>32</v>
      </c>
      <c r="E21" s="78">
        <f>E6*0.7</f>
        <v>109942.06088580223</v>
      </c>
      <c r="F21" s="78">
        <f t="shared" ref="F21:G21" si="3">F6*0.7</f>
        <v>194723.38356384673</v>
      </c>
      <c r="G21" s="78">
        <f t="shared" si="3"/>
        <v>269510.47778311709</v>
      </c>
      <c r="H21" s="128"/>
      <c r="I21" s="128"/>
    </row>
    <row r="22" spans="4:9">
      <c r="D22" s="75" t="s">
        <v>26</v>
      </c>
      <c r="E22" s="84">
        <f>SUM(E18:E21)</f>
        <v>332051.94095333066</v>
      </c>
      <c r="F22" s="84">
        <f t="shared" ref="F22:G22" si="4">SUM(F18:F21)</f>
        <v>232376.88162929175</v>
      </c>
      <c r="G22" s="84">
        <f t="shared" si="4"/>
        <v>314285.28692340886</v>
      </c>
      <c r="H22" s="132"/>
      <c r="I22" s="132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133510.14602638682</v>
      </c>
      <c r="F24" s="91">
        <f t="shared" ref="F24:G24" si="5">F15-F22</f>
        <v>54471.420604775019</v>
      </c>
      <c r="G24" s="91">
        <f t="shared" si="5"/>
        <v>79575.162138187035</v>
      </c>
      <c r="H24" s="133"/>
      <c r="I24" s="133"/>
    </row>
    <row r="25" spans="4:9">
      <c r="D25" s="82" t="s">
        <v>6</v>
      </c>
      <c r="E25" s="91">
        <f>E24</f>
        <v>133510.14602638682</v>
      </c>
      <c r="F25" s="91">
        <f>E25+F24</f>
        <v>187981.56663116184</v>
      </c>
      <c r="G25" s="91">
        <f>F25+G24</f>
        <v>267556.72876934888</v>
      </c>
      <c r="H25" s="133"/>
      <c r="I25" s="133"/>
    </row>
    <row r="28" spans="4:9">
      <c r="D28" s="112" t="s">
        <v>79</v>
      </c>
      <c r="E28" s="114">
        <f>E6</f>
        <v>157060.08697971748</v>
      </c>
      <c r="F28" s="114">
        <f t="shared" ref="F28:G28" si="6">F6</f>
        <v>278176.26223406679</v>
      </c>
      <c r="G28" s="114">
        <f t="shared" si="6"/>
        <v>385014.96826159587</v>
      </c>
      <c r="H28" s="1"/>
      <c r="I28" s="1"/>
    </row>
    <row r="29" spans="4:9">
      <c r="D29" s="112" t="s">
        <v>80</v>
      </c>
      <c r="E29" s="114">
        <f>E18</f>
        <v>16158.48006752842</v>
      </c>
      <c r="F29" s="114">
        <f t="shared" ref="F29:G29" si="7">F18</f>
        <v>17674.256953741678</v>
      </c>
      <c r="G29" s="114">
        <f t="shared" si="7"/>
        <v>19332.224167211985</v>
      </c>
      <c r="H29" s="1"/>
      <c r="I29" s="1"/>
    </row>
    <row r="30" spans="4:9">
      <c r="D30" s="112" t="s">
        <v>81</v>
      </c>
      <c r="E30" s="114">
        <f>E21</f>
        <v>109942.06088580223</v>
      </c>
      <c r="F30" s="114">
        <f t="shared" ref="F30:G30" si="8">F21</f>
        <v>194723.38356384673</v>
      </c>
      <c r="G30" s="114">
        <f t="shared" si="8"/>
        <v>269510.47778311709</v>
      </c>
      <c r="H30" s="1"/>
      <c r="I30" s="1"/>
    </row>
  </sheetData>
  <sheetProtection algorithmName="SHA-512" hashValue="gV+Kf4gxnhIp7+xXnazN+vZeUm1gCc18ZgGY80iGNmF13/RW6tWVxeR30rWJ2yKZ79pUyLY0jDSDRgfIxOVHiQ==" saltValue="RHGJEkPSzKZW4CcXLKKGmA==" spinCount="100000" sheet="1" scenarios="1" selectLockedCell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topLeftCell="A3" workbookViewId="0">
      <selection activeCell="U13" sqref="U13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7"/>
      <c r="I5" s="127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133510.14602638682</v>
      </c>
      <c r="F7" s="78">
        <f>'Cash Flow Analysis'!F25</f>
        <v>187981.56663116184</v>
      </c>
      <c r="G7" s="78">
        <f>'Cash Flow Analysis'!G25</f>
        <v>267556.72876934888</v>
      </c>
      <c r="H7" s="128"/>
      <c r="I7" s="128"/>
    </row>
    <row r="8" spans="4:9">
      <c r="D8" s="66" t="s">
        <v>122</v>
      </c>
      <c r="E8" s="94">
        <f>'Cash Flow Analysis'!E20</f>
        <v>200000</v>
      </c>
      <c r="F8" s="94">
        <f>E8+'Cash Flow Analysis'!F20</f>
        <v>213908.81311170335</v>
      </c>
      <c r="G8" s="94">
        <f>F8+'Cash Flow Analysis'!G20</f>
        <v>233159.56152478314</v>
      </c>
      <c r="H8" s="128"/>
      <c r="I8" s="128"/>
    </row>
    <row r="9" spans="4:9">
      <c r="D9" s="72" t="s">
        <v>48</v>
      </c>
      <c r="E9" s="87">
        <f>-'Profit and Loss Statement'!E27</f>
        <v>-10000</v>
      </c>
      <c r="F9" s="87">
        <f>E9-'Profit and Loss Statement'!F27</f>
        <v>-20000</v>
      </c>
      <c r="G9" s="87">
        <f>F9-'Profit and Loss Statement'!G27</f>
        <v>-30000</v>
      </c>
      <c r="H9" s="131"/>
      <c r="I9" s="131"/>
    </row>
    <row r="10" spans="4:9">
      <c r="D10" s="95" t="s">
        <v>7</v>
      </c>
      <c r="E10" s="96">
        <f>SUM(E7:E9)</f>
        <v>323510.14602638682</v>
      </c>
      <c r="F10" s="96">
        <f t="shared" ref="F10:G10" si="0">SUM(F7:F9)</f>
        <v>381890.37974286522</v>
      </c>
      <c r="G10" s="96">
        <f t="shared" si="0"/>
        <v>470716.29029413202</v>
      </c>
      <c r="H10" s="132"/>
      <c r="I10" s="132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2550.6000000000004</v>
      </c>
      <c r="F13" s="78">
        <f>E13+('Cash Flow Analysis'!F11-'Cash Flow Analysis'!F19)</f>
        <v>5152.2120000000014</v>
      </c>
      <c r="G13" s="78">
        <f>F13+('Cash Flow Analysis'!G11-'Cash Flow Analysis'!G19)</f>
        <v>7805.8562400000019</v>
      </c>
      <c r="H13" s="128"/>
      <c r="I13" s="128"/>
    </row>
    <row r="14" spans="4:9">
      <c r="D14" s="66" t="s">
        <v>73</v>
      </c>
      <c r="E14" s="94">
        <f>'Loan Amortization Table'!E25</f>
        <v>233841.51993247156</v>
      </c>
      <c r="F14" s="94">
        <f>'Loan Amortization Table'!E37</f>
        <v>216167.26297872991</v>
      </c>
      <c r="G14" s="94">
        <f>'Loan Amortization Table'!E49</f>
        <v>196835.03881151794</v>
      </c>
      <c r="H14" s="128"/>
      <c r="I14" s="128"/>
    </row>
    <row r="15" spans="4:9">
      <c r="D15" s="68" t="s">
        <v>30</v>
      </c>
      <c r="E15" s="81">
        <f>SUM(E13:E14)</f>
        <v>236392.11993247157</v>
      </c>
      <c r="F15" s="81">
        <f t="shared" ref="F15:G15" si="1">SUM(F13:F14)</f>
        <v>221319.47497872991</v>
      </c>
      <c r="G15" s="81">
        <f t="shared" si="1"/>
        <v>204640.89505151793</v>
      </c>
      <c r="H15" s="132"/>
      <c r="I15" s="132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87118.02609391525</v>
      </c>
      <c r="F17" s="83">
        <f t="shared" ref="F17:G17" si="2">F10-F15</f>
        <v>160570.90476413531</v>
      </c>
      <c r="G17" s="83">
        <f t="shared" si="2"/>
        <v>266075.39524261409</v>
      </c>
      <c r="H17" s="132"/>
      <c r="I17" s="132"/>
    </row>
    <row r="18" spans="4:9">
      <c r="D18" s="82" t="s">
        <v>31</v>
      </c>
      <c r="E18" s="83">
        <f>E15+E17</f>
        <v>323510.14602638682</v>
      </c>
      <c r="F18" s="83">
        <f t="shared" ref="F18:G18" si="3">F15+F17</f>
        <v>381890.37974286522</v>
      </c>
      <c r="G18" s="83">
        <f t="shared" si="3"/>
        <v>470716.29029413202</v>
      </c>
      <c r="H18" s="132"/>
      <c r="I18" s="132"/>
    </row>
    <row r="21" spans="4:9">
      <c r="D21" s="112" t="s">
        <v>82</v>
      </c>
      <c r="E21" s="114">
        <f>E10-1</f>
        <v>323509.14602638682</v>
      </c>
      <c r="F21" s="114">
        <f t="shared" ref="F21:G21" si="4">F10-1</f>
        <v>381889.37974286522</v>
      </c>
      <c r="G21" s="114">
        <f t="shared" si="4"/>
        <v>470715.29029413202</v>
      </c>
      <c r="H21" s="114">
        <f t="shared" ref="H21:I21" si="5">H10-1</f>
        <v>-1</v>
      </c>
      <c r="I21" s="114">
        <f t="shared" si="5"/>
        <v>-1</v>
      </c>
    </row>
    <row r="22" spans="4:9">
      <c r="D22" s="112" t="s">
        <v>83</v>
      </c>
      <c r="E22" s="114">
        <f>E15</f>
        <v>236392.11993247157</v>
      </c>
      <c r="F22" s="114">
        <f t="shared" ref="F22:G22" si="6">F15</f>
        <v>221319.47497872991</v>
      </c>
      <c r="G22" s="114">
        <f t="shared" si="6"/>
        <v>204640.89505151793</v>
      </c>
      <c r="H22" s="114">
        <f t="shared" ref="H22:I22" si="7">H15</f>
        <v>0</v>
      </c>
      <c r="I22" s="114">
        <f t="shared" si="7"/>
        <v>0</v>
      </c>
    </row>
    <row r="23" spans="4:9">
      <c r="D23" s="112" t="s">
        <v>84</v>
      </c>
      <c r="E23" s="114">
        <f>E17</f>
        <v>87118.02609391525</v>
      </c>
      <c r="F23" s="114">
        <f t="shared" ref="F23:G23" si="8">F17</f>
        <v>160570.90476413531</v>
      </c>
      <c r="G23" s="114">
        <f t="shared" si="8"/>
        <v>266075.39524261409</v>
      </c>
      <c r="H23" s="114">
        <f t="shared" ref="H23:I23" si="9">H17</f>
        <v>0</v>
      </c>
      <c r="I23" s="114">
        <f t="shared" si="9"/>
        <v>0</v>
      </c>
    </row>
    <row r="24" spans="4:9">
      <c r="D24" s="112"/>
      <c r="E24" s="114"/>
      <c r="F24" s="114"/>
      <c r="G24" s="114"/>
      <c r="H24" s="112"/>
      <c r="I24" s="112"/>
    </row>
    <row r="25" spans="4:9">
      <c r="D25" s="112"/>
      <c r="E25" s="114"/>
      <c r="F25" s="114"/>
      <c r="G25" s="114"/>
      <c r="H25" s="112"/>
      <c r="I25" s="112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O168"/>
  <sheetViews>
    <sheetView showGridLines="0" workbookViewId="0">
      <selection activeCell="N39" sqref="N39"/>
    </sheetView>
  </sheetViews>
  <sheetFormatPr defaultRowHeight="15"/>
  <cols>
    <col min="2" max="2" width="29.7109375" customWidth="1"/>
    <col min="3" max="6" width="11.140625" bestFit="1" customWidth="1"/>
    <col min="7" max="7" width="12.140625" bestFit="1" customWidth="1"/>
    <col min="8" max="9" width="10.7109375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89250</v>
      </c>
      <c r="D6" s="6">
        <f>Inputs!D42</f>
        <v>89271</v>
      </c>
      <c r="E6" s="6">
        <f>Inputs!E42</f>
        <v>89292</v>
      </c>
      <c r="F6" s="6">
        <f>Inputs!F42</f>
        <v>89313</v>
      </c>
      <c r="G6" s="6">
        <f>Inputs!G42</f>
        <v>89334</v>
      </c>
      <c r="H6" s="6">
        <f>Inputs!H42</f>
        <v>89355</v>
      </c>
      <c r="I6" s="6">
        <f>Inputs!I42</f>
        <v>89376</v>
      </c>
    </row>
    <row r="7" spans="2:9">
      <c r="B7" s="31" t="s">
        <v>52</v>
      </c>
      <c r="C7" s="6">
        <f>Inputs!C61</f>
        <v>4462.5</v>
      </c>
      <c r="D7" s="6">
        <f>Inputs!D61</f>
        <v>4463.55</v>
      </c>
      <c r="E7" s="6">
        <f>Inputs!E61</f>
        <v>4464.6000000000004</v>
      </c>
      <c r="F7" s="6">
        <f>Inputs!F61</f>
        <v>4465.6499999999996</v>
      </c>
      <c r="G7" s="6">
        <f>Inputs!G61</f>
        <v>4466.7</v>
      </c>
      <c r="H7" s="6">
        <f>Inputs!H61</f>
        <v>4467.75</v>
      </c>
      <c r="I7" s="6">
        <f>Inputs!I61</f>
        <v>4468.8</v>
      </c>
    </row>
    <row r="8" spans="2:9">
      <c r="B8" s="29" t="s">
        <v>12</v>
      </c>
      <c r="C8" s="17">
        <f>1-(C7/C6)</f>
        <v>0.95</v>
      </c>
      <c r="D8" s="17">
        <f t="shared" ref="D8:I8" si="1">1-(D7/D6)</f>
        <v>0.95</v>
      </c>
      <c r="E8" s="17">
        <f t="shared" si="1"/>
        <v>0.95</v>
      </c>
      <c r="F8" s="17">
        <f t="shared" si="1"/>
        <v>0.95</v>
      </c>
      <c r="G8" s="17">
        <f t="shared" si="1"/>
        <v>0.95</v>
      </c>
      <c r="H8" s="17">
        <f t="shared" si="1"/>
        <v>0.95</v>
      </c>
      <c r="I8" s="17">
        <f t="shared" si="1"/>
        <v>0.95</v>
      </c>
    </row>
    <row r="9" spans="2:9">
      <c r="B9" s="30"/>
    </row>
    <row r="10" spans="2:9">
      <c r="B10" s="37" t="s">
        <v>10</v>
      </c>
      <c r="C10" s="6">
        <f>C6-C7</f>
        <v>84787.5</v>
      </c>
      <c r="D10" s="6">
        <f t="shared" ref="D10:I10" si="2">D6-D7</f>
        <v>84807.45</v>
      </c>
      <c r="E10" s="6">
        <f t="shared" si="2"/>
        <v>84827.4</v>
      </c>
      <c r="F10" s="6">
        <f t="shared" si="2"/>
        <v>84847.35</v>
      </c>
      <c r="G10" s="6">
        <f t="shared" si="2"/>
        <v>84867.3</v>
      </c>
      <c r="H10" s="6">
        <f t="shared" si="2"/>
        <v>84887.25</v>
      </c>
      <c r="I10" s="6">
        <f t="shared" si="2"/>
        <v>84907.199999999997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50208.333333333336</v>
      </c>
      <c r="D13" s="6">
        <f t="shared" ref="D13:I13" si="3">$H$41/12</f>
        <v>50208.333333333336</v>
      </c>
      <c r="E13" s="6">
        <f t="shared" si="3"/>
        <v>50208.333333333336</v>
      </c>
      <c r="F13" s="6">
        <f t="shared" si="3"/>
        <v>50208.333333333336</v>
      </c>
      <c r="G13" s="6">
        <f t="shared" si="3"/>
        <v>50208.333333333336</v>
      </c>
      <c r="H13" s="6">
        <f t="shared" si="3"/>
        <v>50208.333333333336</v>
      </c>
      <c r="I13" s="6">
        <f t="shared" si="3"/>
        <v>50208.333333333336</v>
      </c>
    </row>
    <row r="14" spans="2:9">
      <c r="B14" s="33" t="str">
        <f>'Profit and Loss Statement'!D14</f>
        <v>Facility Costs</v>
      </c>
      <c r="C14" s="6">
        <f>$H$42/12</f>
        <v>3549.1666666666665</v>
      </c>
      <c r="D14" s="6">
        <f t="shared" ref="D14:I14" si="4">$H$42/12</f>
        <v>3549.1666666666665</v>
      </c>
      <c r="E14" s="6">
        <f t="shared" si="4"/>
        <v>3549.1666666666665</v>
      </c>
      <c r="F14" s="6">
        <f t="shared" si="4"/>
        <v>3549.1666666666665</v>
      </c>
      <c r="G14" s="6">
        <f t="shared" si="4"/>
        <v>3549.1666666666665</v>
      </c>
      <c r="H14" s="6">
        <f t="shared" si="4"/>
        <v>3549.1666666666665</v>
      </c>
      <c r="I14" s="6">
        <f t="shared" si="4"/>
        <v>3549.1666666666665</v>
      </c>
    </row>
    <row r="15" spans="2:9">
      <c r="B15" s="33" t="str">
        <f>'Profit and Loss Statement'!D15</f>
        <v>General and Administrative</v>
      </c>
      <c r="C15" s="6">
        <f>$H$43/12</f>
        <v>1403.0383499999998</v>
      </c>
      <c r="D15" s="6">
        <f t="shared" ref="D15:I15" si="5">$H$43/12</f>
        <v>1403.0383499999998</v>
      </c>
      <c r="E15" s="6">
        <f t="shared" si="5"/>
        <v>1403.0383499999998</v>
      </c>
      <c r="F15" s="6">
        <f t="shared" si="5"/>
        <v>1403.0383499999998</v>
      </c>
      <c r="G15" s="6">
        <f t="shared" si="5"/>
        <v>1403.0383499999998</v>
      </c>
      <c r="H15" s="6">
        <f t="shared" si="5"/>
        <v>1403.0383499999998</v>
      </c>
      <c r="I15" s="6">
        <f t="shared" si="5"/>
        <v>1403.0383499999998</v>
      </c>
    </row>
    <row r="16" spans="2:9">
      <c r="B16" s="33" t="str">
        <f>'Profit and Loss Statement'!D16</f>
        <v>Equipment Costs</v>
      </c>
      <c r="C16" s="6">
        <f>$H$44/12</f>
        <v>1358.3556000000001</v>
      </c>
      <c r="D16" s="6">
        <f t="shared" ref="D16:I16" si="6">$H$44/12</f>
        <v>1358.3556000000001</v>
      </c>
      <c r="E16" s="6">
        <f t="shared" si="6"/>
        <v>1358.3556000000001</v>
      </c>
      <c r="F16" s="6">
        <f t="shared" si="6"/>
        <v>1358.3556000000001</v>
      </c>
      <c r="G16" s="6">
        <f t="shared" si="6"/>
        <v>1358.3556000000001</v>
      </c>
      <c r="H16" s="6">
        <f t="shared" si="6"/>
        <v>1358.3556000000001</v>
      </c>
      <c r="I16" s="6">
        <f t="shared" si="6"/>
        <v>1358.3556000000001</v>
      </c>
    </row>
    <row r="17" spans="2:9">
      <c r="B17" s="33" t="str">
        <f>'Profit and Loss Statement'!D17</f>
        <v>Insurance Costs</v>
      </c>
      <c r="C17" s="6">
        <f>$H$45/12</f>
        <v>3012.5</v>
      </c>
      <c r="D17" s="6">
        <f t="shared" ref="D17:I17" si="7">$H$45/12</f>
        <v>3012.5</v>
      </c>
      <c r="E17" s="6">
        <f t="shared" si="7"/>
        <v>3012.5</v>
      </c>
      <c r="F17" s="6">
        <f t="shared" si="7"/>
        <v>3012.5</v>
      </c>
      <c r="G17" s="6">
        <f t="shared" si="7"/>
        <v>3012.5</v>
      </c>
      <c r="H17" s="6">
        <f t="shared" si="7"/>
        <v>3012.5</v>
      </c>
      <c r="I17" s="6">
        <f t="shared" si="7"/>
        <v>3012.5</v>
      </c>
    </row>
    <row r="18" spans="2:9">
      <c r="B18" s="33" t="str">
        <f>'Profit and Loss Statement'!D18</f>
        <v>Marketing</v>
      </c>
      <c r="C18" s="6">
        <f>$H$46/12</f>
        <v>1072.386</v>
      </c>
      <c r="D18" s="6">
        <f t="shared" ref="D18:I18" si="8">$H$46/12</f>
        <v>1072.386</v>
      </c>
      <c r="E18" s="6">
        <f t="shared" si="8"/>
        <v>1072.386</v>
      </c>
      <c r="F18" s="6">
        <f t="shared" si="8"/>
        <v>1072.386</v>
      </c>
      <c r="G18" s="6">
        <f t="shared" si="8"/>
        <v>1072.386</v>
      </c>
      <c r="H18" s="6">
        <f t="shared" si="8"/>
        <v>1072.386</v>
      </c>
      <c r="I18" s="6">
        <f t="shared" si="8"/>
        <v>1072.386</v>
      </c>
    </row>
    <row r="19" spans="2:9">
      <c r="B19" s="33" t="str">
        <f>'Profit and Loss Statement'!D19</f>
        <v>Professional Fees and Licensure</v>
      </c>
      <c r="C19" s="6">
        <f>$H$47/12</f>
        <v>291.66666666666669</v>
      </c>
      <c r="D19" s="6">
        <f t="shared" ref="D19:I19" si="9">$H$47/12</f>
        <v>291.66666666666669</v>
      </c>
      <c r="E19" s="6">
        <f t="shared" si="9"/>
        <v>291.66666666666669</v>
      </c>
      <c r="F19" s="6">
        <f t="shared" si="9"/>
        <v>291.66666666666669</v>
      </c>
      <c r="G19" s="6">
        <f t="shared" si="9"/>
        <v>291.66666666666669</v>
      </c>
      <c r="H19" s="6">
        <f t="shared" si="9"/>
        <v>291.66666666666669</v>
      </c>
      <c r="I19" s="6">
        <f t="shared" si="9"/>
        <v>291.66666666666669</v>
      </c>
    </row>
    <row r="20" spans="2:9">
      <c r="B20" s="29" t="s">
        <v>14</v>
      </c>
      <c r="C20" s="6">
        <f>$H$48/12</f>
        <v>3840.9375</v>
      </c>
      <c r="D20" s="6">
        <f t="shared" ref="D20:I20" si="10">$H$48/12</f>
        <v>3840.9375</v>
      </c>
      <c r="E20" s="6">
        <f t="shared" si="10"/>
        <v>3840.9375</v>
      </c>
      <c r="F20" s="6">
        <f t="shared" si="10"/>
        <v>3840.9375</v>
      </c>
      <c r="G20" s="6">
        <f t="shared" si="10"/>
        <v>3840.9375</v>
      </c>
      <c r="H20" s="6">
        <f t="shared" si="10"/>
        <v>3840.9375</v>
      </c>
      <c r="I20" s="6">
        <f t="shared" si="10"/>
        <v>3840.9375</v>
      </c>
    </row>
    <row r="21" spans="2:9">
      <c r="B21" s="28" t="s">
        <v>8</v>
      </c>
      <c r="C21" s="6">
        <f>SUM(C13:C20)</f>
        <v>64736.384116666668</v>
      </c>
      <c r="D21" s="6">
        <f t="shared" ref="D21:I21" si="11">SUM(D13:D20)</f>
        <v>64736.384116666668</v>
      </c>
      <c r="E21" s="6">
        <f t="shared" si="11"/>
        <v>64736.384116666668</v>
      </c>
      <c r="F21" s="6">
        <f t="shared" si="11"/>
        <v>64736.384116666668</v>
      </c>
      <c r="G21" s="6">
        <f t="shared" si="11"/>
        <v>64736.384116666668</v>
      </c>
      <c r="H21" s="6">
        <f t="shared" si="11"/>
        <v>64736.384116666668</v>
      </c>
      <c r="I21" s="6">
        <f t="shared" si="11"/>
        <v>64736.384116666668</v>
      </c>
    </row>
    <row r="22" spans="2:9">
      <c r="B22" s="30"/>
    </row>
    <row r="23" spans="2:9">
      <c r="B23" s="24" t="s">
        <v>47</v>
      </c>
      <c r="C23" s="25">
        <f>C10-C21</f>
        <v>20051.115883333332</v>
      </c>
      <c r="D23" s="25">
        <f t="shared" ref="D23:I23" si="12">D10-D21</f>
        <v>20071.065883333329</v>
      </c>
      <c r="E23" s="25">
        <f t="shared" si="12"/>
        <v>20091.015883333326</v>
      </c>
      <c r="F23" s="25">
        <f t="shared" si="12"/>
        <v>20110.965883333338</v>
      </c>
      <c r="G23" s="25">
        <f t="shared" si="12"/>
        <v>20130.915883333335</v>
      </c>
      <c r="H23" s="25">
        <f t="shared" si="12"/>
        <v>20150.865883333332</v>
      </c>
      <c r="I23" s="25">
        <f t="shared" si="12"/>
        <v>20170.815883333329</v>
      </c>
    </row>
    <row r="24" spans="2:9">
      <c r="B24" s="29" t="s">
        <v>15</v>
      </c>
      <c r="C24" s="6">
        <f>(C6/$H$34)*$H$52</f>
        <v>4371.131544498432</v>
      </c>
      <c r="D24" s="6">
        <f t="shared" ref="D24:I24" si="13">(D6/$H$34)*$H$52</f>
        <v>4372.1600460383133</v>
      </c>
      <c r="E24" s="6">
        <f t="shared" si="13"/>
        <v>4373.1885475781955</v>
      </c>
      <c r="F24" s="6">
        <f t="shared" si="13"/>
        <v>4374.2170491180777</v>
      </c>
      <c r="G24" s="6">
        <f t="shared" si="13"/>
        <v>4375.2455506579599</v>
      </c>
      <c r="H24" s="6">
        <f t="shared" si="13"/>
        <v>4376.2740521978412</v>
      </c>
      <c r="I24" s="6">
        <f t="shared" si="13"/>
        <v>4377.3025537377243</v>
      </c>
    </row>
    <row r="25" spans="2:9">
      <c r="B25" s="29" t="s">
        <v>102</v>
      </c>
      <c r="C25" s="6">
        <f>(C6/$H$34)*$H$53</f>
        <v>874.22630889968639</v>
      </c>
      <c r="D25" s="6">
        <f t="shared" ref="D25:I25" si="14">(D6/$H$34)*$H$53</f>
        <v>874.43200920766265</v>
      </c>
      <c r="E25" s="6">
        <f t="shared" si="14"/>
        <v>874.63770951563913</v>
      </c>
      <c r="F25" s="6">
        <f t="shared" si="14"/>
        <v>874.8434098236155</v>
      </c>
      <c r="G25" s="6">
        <f t="shared" si="14"/>
        <v>875.04911013159199</v>
      </c>
      <c r="H25" s="6">
        <f t="shared" si="14"/>
        <v>875.25481043956836</v>
      </c>
      <c r="I25" s="6">
        <f t="shared" si="14"/>
        <v>875.46051074754484</v>
      </c>
    </row>
    <row r="26" spans="2:9">
      <c r="B26" s="29" t="s">
        <v>16</v>
      </c>
      <c r="C26" s="6">
        <f>'Loan Amortization Table'!D14</f>
        <v>1875</v>
      </c>
      <c r="D26" s="6">
        <f>'Loan Amortization Table'!D15</f>
        <v>1865.3107924218282</v>
      </c>
      <c r="E26" s="6">
        <f>'Loan Amortization Table'!D16</f>
        <v>1855.5489157868201</v>
      </c>
      <c r="F26" s="6">
        <f>'Loan Amortization Table'!D17</f>
        <v>1845.7138250770495</v>
      </c>
      <c r="G26" s="6">
        <f>'Loan Amortization Table'!D18</f>
        <v>1835.8049711869558</v>
      </c>
      <c r="H26" s="6">
        <f>'Loan Amortization Table'!D19</f>
        <v>1825.821800892686</v>
      </c>
      <c r="I26" s="6">
        <f>'Loan Amortization Table'!D20</f>
        <v>1815.7637568212094</v>
      </c>
    </row>
    <row r="27" spans="2:9">
      <c r="B27" s="29" t="s">
        <v>54</v>
      </c>
      <c r="C27" s="6">
        <f>$H$55/12</f>
        <v>833.33333333333337</v>
      </c>
      <c r="D27" s="6">
        <f t="shared" ref="D27:I27" si="15">$H$55/12</f>
        <v>833.33333333333337</v>
      </c>
      <c r="E27" s="6">
        <f t="shared" si="15"/>
        <v>833.33333333333337</v>
      </c>
      <c r="F27" s="6">
        <f t="shared" si="15"/>
        <v>833.33333333333337</v>
      </c>
      <c r="G27" s="6">
        <f t="shared" si="15"/>
        <v>833.33333333333337</v>
      </c>
      <c r="H27" s="6">
        <f t="shared" si="15"/>
        <v>833.33333333333337</v>
      </c>
      <c r="I27" s="6">
        <f t="shared" si="15"/>
        <v>833.33333333333337</v>
      </c>
    </row>
    <row r="28" spans="2:9">
      <c r="B28" s="38" t="s">
        <v>17</v>
      </c>
      <c r="C28" s="39">
        <f>C23-SUM(C24:C27)</f>
        <v>12097.42469660188</v>
      </c>
      <c r="D28" s="39">
        <f t="shared" ref="D28:I28" si="16">D23-SUM(D24:D27)</f>
        <v>12125.829702332192</v>
      </c>
      <c r="E28" s="39">
        <f t="shared" si="16"/>
        <v>12154.307377119338</v>
      </c>
      <c r="F28" s="39">
        <f t="shared" si="16"/>
        <v>12182.858265981262</v>
      </c>
      <c r="G28" s="39">
        <f t="shared" si="16"/>
        <v>12211.482918023496</v>
      </c>
      <c r="H28" s="39">
        <f t="shared" si="16"/>
        <v>12240.181886469903</v>
      </c>
      <c r="I28" s="39">
        <f t="shared" si="16"/>
        <v>12268.955728693518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8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8">
      <c r="B34" s="37" t="s">
        <v>51</v>
      </c>
      <c r="C34" s="6">
        <f>Inputs!J42</f>
        <v>89397</v>
      </c>
      <c r="D34" s="6">
        <f>Inputs!K42</f>
        <v>89418</v>
      </c>
      <c r="E34" s="6">
        <f>Inputs!L42</f>
        <v>89439</v>
      </c>
      <c r="F34" s="6">
        <f>Inputs!M42</f>
        <v>89460</v>
      </c>
      <c r="G34" s="6">
        <f>Inputs!N42</f>
        <v>89481</v>
      </c>
      <c r="H34" s="6">
        <f>'Profit and Loss Statement'!E6</f>
        <v>1072386</v>
      </c>
    </row>
    <row r="35" spans="2:8">
      <c r="B35" s="31" t="s">
        <v>52</v>
      </c>
      <c r="C35" s="6">
        <f>Inputs!J61</f>
        <v>4469.8500000000004</v>
      </c>
      <c r="D35" s="6">
        <f>Inputs!K61</f>
        <v>4470.8999999999996</v>
      </c>
      <c r="E35" s="6">
        <f>Inputs!L61</f>
        <v>4471.95</v>
      </c>
      <c r="F35" s="6">
        <f>Inputs!M61</f>
        <v>4473</v>
      </c>
      <c r="G35" s="6">
        <f>Inputs!N61</f>
        <v>4474.05</v>
      </c>
      <c r="H35" s="6">
        <f>'Profit and Loss Statement'!E7</f>
        <v>53619.3</v>
      </c>
    </row>
    <row r="36" spans="2:8">
      <c r="B36" s="29" t="s">
        <v>12</v>
      </c>
      <c r="C36" s="17">
        <f>1-(C35/C34)</f>
        <v>0.95</v>
      </c>
      <c r="D36" s="17">
        <f t="shared" ref="D36:H36" si="18">1-(D35/D34)</f>
        <v>0.95</v>
      </c>
      <c r="E36" s="17">
        <f t="shared" si="18"/>
        <v>0.95</v>
      </c>
      <c r="F36" s="17">
        <f t="shared" si="18"/>
        <v>0.95</v>
      </c>
      <c r="G36" s="17">
        <f t="shared" si="18"/>
        <v>0.95</v>
      </c>
      <c r="H36" s="17">
        <f t="shared" si="18"/>
        <v>0.95</v>
      </c>
    </row>
    <row r="37" spans="2:8">
      <c r="B37" s="30"/>
    </row>
    <row r="38" spans="2:8">
      <c r="B38" s="37" t="s">
        <v>10</v>
      </c>
      <c r="C38" s="6">
        <f>C34-C35</f>
        <v>84927.15</v>
      </c>
      <c r="D38" s="6">
        <f t="shared" ref="D38:H38" si="19">D34-D35</f>
        <v>84947.1</v>
      </c>
      <c r="E38" s="6">
        <f t="shared" si="19"/>
        <v>84967.05</v>
      </c>
      <c r="F38" s="6">
        <f t="shared" si="19"/>
        <v>84987</v>
      </c>
      <c r="G38" s="6">
        <f t="shared" si="19"/>
        <v>85006.95</v>
      </c>
      <c r="H38" s="6">
        <f t="shared" si="19"/>
        <v>1018766.7</v>
      </c>
    </row>
    <row r="39" spans="2:8">
      <c r="B39" s="30"/>
    </row>
    <row r="40" spans="2:8">
      <c r="B40" s="30" t="s">
        <v>13</v>
      </c>
      <c r="C40" s="2"/>
    </row>
    <row r="41" spans="2:8">
      <c r="B41" s="31" t="s">
        <v>53</v>
      </c>
      <c r="C41" s="6">
        <f>$H$41/12</f>
        <v>50208.333333333336</v>
      </c>
      <c r="D41" s="6">
        <f t="shared" ref="D41:G41" si="20">$H$41/12</f>
        <v>50208.333333333336</v>
      </c>
      <c r="E41" s="6">
        <f t="shared" si="20"/>
        <v>50208.333333333336</v>
      </c>
      <c r="F41" s="6">
        <f t="shared" si="20"/>
        <v>50208.333333333336</v>
      </c>
      <c r="G41" s="6">
        <f t="shared" si="20"/>
        <v>50208.333333333336</v>
      </c>
      <c r="H41" s="6">
        <f>'Profit and Loss Statement'!E13</f>
        <v>602500</v>
      </c>
    </row>
    <row r="42" spans="2:8">
      <c r="B42" s="33" t="str">
        <f>B14</f>
        <v>Facility Costs</v>
      </c>
      <c r="C42" s="6">
        <f>$H$42/12</f>
        <v>3549.1666666666665</v>
      </c>
      <c r="D42" s="6">
        <f t="shared" ref="D42:G42" si="21">$H$42/12</f>
        <v>3549.1666666666665</v>
      </c>
      <c r="E42" s="6">
        <f t="shared" si="21"/>
        <v>3549.1666666666665</v>
      </c>
      <c r="F42" s="6">
        <f t="shared" si="21"/>
        <v>3549.1666666666665</v>
      </c>
      <c r="G42" s="6">
        <f t="shared" si="21"/>
        <v>3549.1666666666665</v>
      </c>
      <c r="H42" s="6">
        <f>'Profit and Loss Statement'!E14</f>
        <v>42590</v>
      </c>
    </row>
    <row r="43" spans="2:8">
      <c r="B43" s="33" t="str">
        <f t="shared" ref="B43:B47" si="22">B15</f>
        <v>General and Administrative</v>
      </c>
      <c r="C43" s="6">
        <f>$H$43/12</f>
        <v>1403.0383499999998</v>
      </c>
      <c r="D43" s="6">
        <f t="shared" ref="D43:G43" si="23">$H$43/12</f>
        <v>1403.0383499999998</v>
      </c>
      <c r="E43" s="6">
        <f t="shared" si="23"/>
        <v>1403.0383499999998</v>
      </c>
      <c r="F43" s="6">
        <f t="shared" si="23"/>
        <v>1403.0383499999998</v>
      </c>
      <c r="G43" s="6">
        <f t="shared" si="23"/>
        <v>1403.0383499999998</v>
      </c>
      <c r="H43" s="6">
        <f>'Profit and Loss Statement'!E15</f>
        <v>16836.460199999998</v>
      </c>
    </row>
    <row r="44" spans="2:8">
      <c r="B44" s="33" t="str">
        <f t="shared" si="22"/>
        <v>Equipment Costs</v>
      </c>
      <c r="C44" s="6">
        <f>$H$44/12</f>
        <v>1358.3556000000001</v>
      </c>
      <c r="D44" s="6">
        <f t="shared" ref="D44:G44" si="24">$H$44/12</f>
        <v>1358.3556000000001</v>
      </c>
      <c r="E44" s="6">
        <f t="shared" si="24"/>
        <v>1358.3556000000001</v>
      </c>
      <c r="F44" s="6">
        <f t="shared" si="24"/>
        <v>1358.3556000000001</v>
      </c>
      <c r="G44" s="6">
        <f t="shared" si="24"/>
        <v>1358.3556000000001</v>
      </c>
      <c r="H44" s="6">
        <f>'Profit and Loss Statement'!E16</f>
        <v>16300.2672</v>
      </c>
    </row>
    <row r="45" spans="2:8">
      <c r="B45" s="33" t="str">
        <f t="shared" si="22"/>
        <v>Insurance Costs</v>
      </c>
      <c r="C45" s="6">
        <f>$H$45/12</f>
        <v>3012.5</v>
      </c>
      <c r="D45" s="6">
        <f t="shared" ref="D45:G45" si="25">$H$45/12</f>
        <v>3012.5</v>
      </c>
      <c r="E45" s="6">
        <f t="shared" si="25"/>
        <v>3012.5</v>
      </c>
      <c r="F45" s="6">
        <f t="shared" si="25"/>
        <v>3012.5</v>
      </c>
      <c r="G45" s="6">
        <f t="shared" si="25"/>
        <v>3012.5</v>
      </c>
      <c r="H45" s="6">
        <f>'Profit and Loss Statement'!E17</f>
        <v>36150</v>
      </c>
    </row>
    <row r="46" spans="2:8">
      <c r="B46" s="33" t="str">
        <f t="shared" si="22"/>
        <v>Marketing</v>
      </c>
      <c r="C46" s="6">
        <f>$H$46/12</f>
        <v>1072.386</v>
      </c>
      <c r="D46" s="6">
        <f t="shared" ref="D46:G46" si="26">$H$46/12</f>
        <v>1072.386</v>
      </c>
      <c r="E46" s="6">
        <f t="shared" si="26"/>
        <v>1072.386</v>
      </c>
      <c r="F46" s="6">
        <f t="shared" si="26"/>
        <v>1072.386</v>
      </c>
      <c r="G46" s="6">
        <f t="shared" si="26"/>
        <v>1072.386</v>
      </c>
      <c r="H46" s="6">
        <f>'Profit and Loss Statement'!E18</f>
        <v>12868.632</v>
      </c>
    </row>
    <row r="47" spans="2:8">
      <c r="B47" s="33" t="str">
        <f t="shared" si="22"/>
        <v>Professional Fees and Licensure</v>
      </c>
      <c r="C47" s="6">
        <f>$H$47/12</f>
        <v>291.66666666666669</v>
      </c>
      <c r="D47" s="6">
        <f t="shared" ref="D47:G47" si="27">$H$47/12</f>
        <v>291.66666666666669</v>
      </c>
      <c r="E47" s="6">
        <f t="shared" si="27"/>
        <v>291.66666666666669</v>
      </c>
      <c r="F47" s="6">
        <f t="shared" si="27"/>
        <v>291.66666666666669</v>
      </c>
      <c r="G47" s="6">
        <f t="shared" si="27"/>
        <v>291.66666666666669</v>
      </c>
      <c r="H47" s="6">
        <f>'Profit and Loss Statement'!E19</f>
        <v>3500</v>
      </c>
    </row>
    <row r="48" spans="2:8">
      <c r="B48" s="29" t="s">
        <v>14</v>
      </c>
      <c r="C48" s="6">
        <f>$H$48/12</f>
        <v>3840.9375</v>
      </c>
      <c r="D48" s="6">
        <f t="shared" ref="D48:G48" si="28">$H$48/12</f>
        <v>3840.9375</v>
      </c>
      <c r="E48" s="6">
        <f t="shared" si="28"/>
        <v>3840.9375</v>
      </c>
      <c r="F48" s="6">
        <f t="shared" si="28"/>
        <v>3840.9375</v>
      </c>
      <c r="G48" s="6">
        <f t="shared" si="28"/>
        <v>3840.9375</v>
      </c>
      <c r="H48" s="6">
        <f>'Profit and Loss Statement'!E20</f>
        <v>46091.25</v>
      </c>
    </row>
    <row r="49" spans="2:15">
      <c r="B49" s="28" t="s">
        <v>8</v>
      </c>
      <c r="C49" s="6">
        <f>SUM(C41:C48)</f>
        <v>64736.384116666668</v>
      </c>
      <c r="D49" s="6">
        <f t="shared" ref="D49:G49" si="29">SUM(D41:D48)</f>
        <v>64736.384116666668</v>
      </c>
      <c r="E49" s="6">
        <f t="shared" si="29"/>
        <v>64736.384116666668</v>
      </c>
      <c r="F49" s="6">
        <f t="shared" si="29"/>
        <v>64736.384116666668</v>
      </c>
      <c r="G49" s="6">
        <f t="shared" si="29"/>
        <v>64736.384116666668</v>
      </c>
      <c r="H49" s="6">
        <f>'Profit and Loss Statement'!E21</f>
        <v>776836.60939999996</v>
      </c>
    </row>
    <row r="50" spans="2:15">
      <c r="B50" s="30"/>
    </row>
    <row r="51" spans="2:15">
      <c r="B51" s="24" t="s">
        <v>47</v>
      </c>
      <c r="C51" s="25">
        <f>C38-C49</f>
        <v>20190.765883333326</v>
      </c>
      <c r="D51" s="25">
        <f t="shared" ref="D51:H51" si="30">D38-D49</f>
        <v>20210.715883333338</v>
      </c>
      <c r="E51" s="25">
        <f t="shared" si="30"/>
        <v>20230.665883333335</v>
      </c>
      <c r="F51" s="25">
        <f t="shared" si="30"/>
        <v>20250.615883333332</v>
      </c>
      <c r="G51" s="25">
        <f t="shared" si="30"/>
        <v>20270.565883333329</v>
      </c>
      <c r="H51" s="25">
        <f t="shared" si="30"/>
        <v>241930.0906</v>
      </c>
    </row>
    <row r="52" spans="2:15">
      <c r="B52" s="29" t="s">
        <v>15</v>
      </c>
      <c r="C52" s="6">
        <f>(C34/$H$34)*$H$52</f>
        <v>4378.3310552776056</v>
      </c>
      <c r="D52" s="6">
        <f t="shared" ref="D52:G52" si="31">(D34/$H$34)*$H$52</f>
        <v>4379.3595568174869</v>
      </c>
      <c r="E52" s="6">
        <f t="shared" si="31"/>
        <v>4380.38805835737</v>
      </c>
      <c r="F52" s="6">
        <f t="shared" si="31"/>
        <v>4381.4165598972513</v>
      </c>
      <c r="G52" s="6">
        <f t="shared" si="31"/>
        <v>4382.4450614371335</v>
      </c>
      <c r="H52" s="6">
        <f>'Profit and Loss Statement'!E24</f>
        <v>52521.459635613392</v>
      </c>
    </row>
    <row r="53" spans="2:15">
      <c r="B53" s="29" t="s">
        <v>102</v>
      </c>
      <c r="C53" s="6">
        <f>(C34/$H$34)*$H$53</f>
        <v>875.6662110555211</v>
      </c>
      <c r="D53" s="6">
        <f t="shared" ref="D53:G53" si="32">(D34/$H$34)*$H$53</f>
        <v>875.87191136349747</v>
      </c>
      <c r="E53" s="6">
        <f t="shared" si="32"/>
        <v>876.07761167147396</v>
      </c>
      <c r="F53" s="6">
        <f t="shared" si="32"/>
        <v>876.28331197945022</v>
      </c>
      <c r="G53" s="6">
        <f t="shared" si="32"/>
        <v>876.4890122874267</v>
      </c>
      <c r="H53" s="6">
        <f>'Profit and Loss Statement'!E25</f>
        <v>10504.291927122678</v>
      </c>
    </row>
    <row r="54" spans="2:15">
      <c r="B54" s="29" t="s">
        <v>16</v>
      </c>
      <c r="C54" s="6">
        <f>'Loan Amortization Table'!D21</f>
        <v>1805.6302774191965</v>
      </c>
      <c r="D54" s="6">
        <f>'Loan Amortization Table'!D22</f>
        <v>1795.4207969216689</v>
      </c>
      <c r="E54" s="6">
        <f>'Loan Amortization Table'!D23</f>
        <v>1785.1347453204094</v>
      </c>
      <c r="F54" s="6">
        <f>'Loan Amortization Table'!D24</f>
        <v>1774.7715483321406</v>
      </c>
      <c r="G54" s="6">
        <f>'Loan Amortization Table'!D25</f>
        <v>1764.3306273664598</v>
      </c>
      <c r="H54" s="6">
        <f>'Profit and Loss Statement'!E26</f>
        <v>21844.252057546426</v>
      </c>
    </row>
    <row r="55" spans="2:15">
      <c r="B55" s="29" t="s">
        <v>54</v>
      </c>
      <c r="C55" s="6">
        <f>$H$55/12</f>
        <v>833.33333333333337</v>
      </c>
      <c r="D55" s="6">
        <f t="shared" ref="D55:G55" si="33">$H$55/12</f>
        <v>833.33333333333337</v>
      </c>
      <c r="E55" s="6">
        <f t="shared" si="33"/>
        <v>833.33333333333337</v>
      </c>
      <c r="F55" s="6">
        <f t="shared" si="33"/>
        <v>833.33333333333337</v>
      </c>
      <c r="G55" s="6">
        <f t="shared" si="33"/>
        <v>833.33333333333337</v>
      </c>
      <c r="H55" s="6">
        <f>'Profit and Loss Statement'!E27</f>
        <v>10000</v>
      </c>
    </row>
    <row r="56" spans="2:15">
      <c r="B56" s="38" t="s">
        <v>17</v>
      </c>
      <c r="C56" s="39">
        <f>C51-SUM(C52:C55)</f>
        <v>12297.80500624767</v>
      </c>
      <c r="D56" s="39">
        <f t="shared" ref="D56:G56" si="34">D51-SUM(D52:D55)</f>
        <v>12326.730284897352</v>
      </c>
      <c r="E56" s="39">
        <f t="shared" si="34"/>
        <v>12355.732134650749</v>
      </c>
      <c r="F56" s="39">
        <f t="shared" si="34"/>
        <v>12384.811129791156</v>
      </c>
      <c r="G56" s="39">
        <f t="shared" si="34"/>
        <v>12413.967848908975</v>
      </c>
      <c r="H56" s="39">
        <f>'Profit and Loss Statement'!E28</f>
        <v>147060.08697971748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0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321715.8</v>
      </c>
      <c r="D62" s="6">
        <f t="shared" ref="D62:F62" si="38">$G$62*M62</f>
        <v>321715.8</v>
      </c>
      <c r="E62" s="6">
        <f t="shared" si="38"/>
        <v>321715.8</v>
      </c>
      <c r="F62" s="6">
        <f t="shared" si="38"/>
        <v>321715.8</v>
      </c>
      <c r="G62" s="6">
        <f>'Profit and Loss Statement'!F6</f>
        <v>1286863.2</v>
      </c>
      <c r="K62" s="4" t="s">
        <v>114</v>
      </c>
      <c r="L62" s="107">
        <v>0.25</v>
      </c>
      <c r="M62" s="107">
        <v>0.25</v>
      </c>
      <c r="N62" s="107">
        <v>0.25</v>
      </c>
      <c r="O62" s="107">
        <v>0.25</v>
      </c>
    </row>
    <row r="63" spans="2:15">
      <c r="B63" s="31" t="s">
        <v>52</v>
      </c>
      <c r="C63" s="6">
        <f>$G$63*L62</f>
        <v>16085.789999999999</v>
      </c>
      <c r="D63" s="6">
        <f t="shared" ref="D63:F63" si="39">$G$63*M62</f>
        <v>16085.789999999999</v>
      </c>
      <c r="E63" s="6">
        <f t="shared" si="39"/>
        <v>16085.789999999999</v>
      </c>
      <c r="F63" s="6">
        <f t="shared" si="39"/>
        <v>16085.789999999999</v>
      </c>
      <c r="G63" s="6">
        <f>'Profit and Loss Statement'!F7</f>
        <v>64343.159999999996</v>
      </c>
    </row>
    <row r="64" spans="2:15">
      <c r="B64" s="29" t="s">
        <v>12</v>
      </c>
      <c r="C64" s="17">
        <f>1-(C63/C62)</f>
        <v>0.95</v>
      </c>
      <c r="D64" s="17">
        <f t="shared" ref="D64" si="40">1-(D63/D62)</f>
        <v>0.95</v>
      </c>
      <c r="E64" s="17">
        <f t="shared" ref="E64" si="41">1-(E63/E62)</f>
        <v>0.95</v>
      </c>
      <c r="F64" s="17">
        <f t="shared" ref="F64:G64" si="42">1-(F63/F62)</f>
        <v>0.95</v>
      </c>
      <c r="G64" s="17">
        <f t="shared" si="42"/>
        <v>0.95</v>
      </c>
    </row>
    <row r="65" spans="2:7">
      <c r="B65" s="30"/>
    </row>
    <row r="66" spans="2:7">
      <c r="B66" s="37" t="s">
        <v>10</v>
      </c>
      <c r="C66" s="6">
        <f>C62-C63</f>
        <v>305630.01</v>
      </c>
      <c r="D66" s="6">
        <f t="shared" ref="D66:G66" si="43">D62-D63</f>
        <v>305630.01</v>
      </c>
      <c r="E66" s="6">
        <f t="shared" si="43"/>
        <v>305630.01</v>
      </c>
      <c r="F66" s="6">
        <f t="shared" si="43"/>
        <v>305630.01</v>
      </c>
      <c r="G66" s="6">
        <f t="shared" si="43"/>
        <v>1222520.04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155143.75</v>
      </c>
      <c r="D69" s="6">
        <f t="shared" ref="D69:F69" si="44">$G$69/4</f>
        <v>155143.75</v>
      </c>
      <c r="E69" s="6">
        <f t="shared" si="44"/>
        <v>155143.75</v>
      </c>
      <c r="F69" s="6">
        <f t="shared" si="44"/>
        <v>155143.75</v>
      </c>
      <c r="G69" s="6">
        <f>'Profit and Loss Statement'!F13</f>
        <v>620575</v>
      </c>
    </row>
    <row r="70" spans="2:7">
      <c r="B70" s="33" t="str">
        <f>B42</f>
        <v>Facility Costs</v>
      </c>
      <c r="C70" s="6">
        <f>$G$70/4</f>
        <v>10966.925000000001</v>
      </c>
      <c r="D70" s="6">
        <f t="shared" ref="D70:F70" si="45">$G$70/4</f>
        <v>10966.925000000001</v>
      </c>
      <c r="E70" s="6">
        <f t="shared" si="45"/>
        <v>10966.925000000001</v>
      </c>
      <c r="F70" s="6">
        <f t="shared" si="45"/>
        <v>10966.925000000001</v>
      </c>
      <c r="G70" s="6">
        <f>'Profit and Loss Statement'!F14</f>
        <v>43867.700000000004</v>
      </c>
    </row>
    <row r="71" spans="2:7">
      <c r="B71" s="33" t="str">
        <f t="shared" ref="B71:B75" si="46">B43</f>
        <v>General and Administrative</v>
      </c>
      <c r="C71" s="6">
        <f>$G$71/4</f>
        <v>5050.9380599999995</v>
      </c>
      <c r="D71" s="6">
        <f t="shared" ref="D71:F71" si="47">$G$71/4</f>
        <v>5050.9380599999995</v>
      </c>
      <c r="E71" s="6">
        <f t="shared" si="47"/>
        <v>5050.9380599999995</v>
      </c>
      <c r="F71" s="6">
        <f t="shared" si="47"/>
        <v>5050.9380599999995</v>
      </c>
      <c r="G71" s="6">
        <f>'Profit and Loss Statement'!F15</f>
        <v>20203.752239999998</v>
      </c>
    </row>
    <row r="72" spans="2:7">
      <c r="B72" s="33" t="str">
        <f t="shared" si="46"/>
        <v>Equipment Costs</v>
      </c>
      <c r="C72" s="6">
        <f>$G$72/4</f>
        <v>4890.0801599999995</v>
      </c>
      <c r="D72" s="6">
        <f t="shared" ref="D72:F72" si="48">$G$72/4</f>
        <v>4890.0801599999995</v>
      </c>
      <c r="E72" s="6">
        <f t="shared" si="48"/>
        <v>4890.0801599999995</v>
      </c>
      <c r="F72" s="6">
        <f t="shared" si="48"/>
        <v>4890.0801599999995</v>
      </c>
      <c r="G72" s="6">
        <f>'Profit and Loss Statement'!F16</f>
        <v>19560.320639999998</v>
      </c>
    </row>
    <row r="73" spans="2:7">
      <c r="B73" s="33" t="str">
        <f t="shared" si="46"/>
        <v>Insurance Costs</v>
      </c>
      <c r="C73" s="6">
        <f>$G$73/4</f>
        <v>9308.625</v>
      </c>
      <c r="D73" s="6">
        <f t="shared" ref="D73:F73" si="49">$G$73/4</f>
        <v>9308.625</v>
      </c>
      <c r="E73" s="6">
        <f t="shared" si="49"/>
        <v>9308.625</v>
      </c>
      <c r="F73" s="6">
        <f t="shared" si="49"/>
        <v>9308.625</v>
      </c>
      <c r="G73" s="6">
        <f>'Profit and Loss Statement'!F17</f>
        <v>37234.5</v>
      </c>
    </row>
    <row r="74" spans="2:7">
      <c r="B74" s="33" t="str">
        <f t="shared" si="46"/>
        <v>Marketing</v>
      </c>
      <c r="C74" s="6">
        <f>$G$74/4</f>
        <v>3860.5895999999998</v>
      </c>
      <c r="D74" s="6">
        <f t="shared" ref="D74:F74" si="50">$G$74/4</f>
        <v>3860.5895999999998</v>
      </c>
      <c r="E74" s="6">
        <f t="shared" si="50"/>
        <v>3860.5895999999998</v>
      </c>
      <c r="F74" s="6">
        <f t="shared" si="50"/>
        <v>3860.5895999999998</v>
      </c>
      <c r="G74" s="6">
        <f>'Profit and Loss Statement'!F18</f>
        <v>15442.358399999999</v>
      </c>
    </row>
    <row r="75" spans="2:7">
      <c r="B75" s="33" t="str">
        <f t="shared" si="46"/>
        <v>Professional Fees and Licensure</v>
      </c>
      <c r="C75" s="6">
        <f>$G$75/4</f>
        <v>1181.25</v>
      </c>
      <c r="D75" s="6">
        <f t="shared" ref="D75:F75" si="51">$G$75/4</f>
        <v>1181.25</v>
      </c>
      <c r="E75" s="6">
        <f t="shared" si="51"/>
        <v>1181.25</v>
      </c>
      <c r="F75" s="6">
        <f t="shared" si="51"/>
        <v>1181.25</v>
      </c>
      <c r="G75" s="6">
        <f>'Profit and Loss Statement'!F19</f>
        <v>4725</v>
      </c>
    </row>
    <row r="76" spans="2:7">
      <c r="B76" s="29" t="s">
        <v>14</v>
      </c>
      <c r="C76" s="6">
        <f>$G$76/4</f>
        <v>11868.496874999999</v>
      </c>
      <c r="D76" s="6">
        <f t="shared" ref="D76:F76" si="52">$G$76/4</f>
        <v>11868.496874999999</v>
      </c>
      <c r="E76" s="6">
        <f t="shared" si="52"/>
        <v>11868.496874999999</v>
      </c>
      <c r="F76" s="6">
        <f t="shared" si="52"/>
        <v>11868.496874999999</v>
      </c>
      <c r="G76" s="6">
        <f>'Profit and Loss Statement'!F20</f>
        <v>47473.987499999996</v>
      </c>
    </row>
    <row r="77" spans="2:7">
      <c r="B77" s="28" t="s">
        <v>8</v>
      </c>
      <c r="C77" s="6">
        <f>SUM(C69:C76)</f>
        <v>202270.654695</v>
      </c>
      <c r="D77" s="6">
        <f t="shared" ref="D77:F77" si="53">SUM(D69:D76)</f>
        <v>202270.654695</v>
      </c>
      <c r="E77" s="6">
        <f t="shared" si="53"/>
        <v>202270.654695</v>
      </c>
      <c r="F77" s="6">
        <f t="shared" si="53"/>
        <v>202270.654695</v>
      </c>
      <c r="G77" s="6">
        <f>SUM(G69:G76)</f>
        <v>809082.61878000002</v>
      </c>
    </row>
    <row r="78" spans="2:7">
      <c r="B78" s="30"/>
    </row>
    <row r="79" spans="2:7">
      <c r="B79" s="24" t="s">
        <v>47</v>
      </c>
      <c r="C79" s="25">
        <f>C66-C77</f>
        <v>103359.355305</v>
      </c>
      <c r="D79" s="25">
        <f t="shared" ref="D79:F79" si="54">D66-D77</f>
        <v>103359.355305</v>
      </c>
      <c r="E79" s="25">
        <f t="shared" si="54"/>
        <v>103359.355305</v>
      </c>
      <c r="F79" s="25">
        <f t="shared" si="54"/>
        <v>103359.355305</v>
      </c>
      <c r="G79" s="25">
        <f t="shared" ref="G79" si="55">G66-G77</f>
        <v>413437.42122000002</v>
      </c>
    </row>
    <row r="80" spans="2:7">
      <c r="B80" s="29" t="s">
        <v>15</v>
      </c>
      <c r="C80" s="6">
        <f>$G$80*L62</f>
        <v>23944.309128041677</v>
      </c>
      <c r="D80" s="6">
        <f t="shared" ref="D80:F80" si="56">$G$80*M62</f>
        <v>23944.309128041677</v>
      </c>
      <c r="E80" s="6">
        <f t="shared" si="56"/>
        <v>23944.309128041677</v>
      </c>
      <c r="F80" s="6">
        <f t="shared" si="56"/>
        <v>23944.309128041677</v>
      </c>
      <c r="G80" s="6">
        <f>'Profit and Loss Statement'!F24</f>
        <v>95777.23651216671</v>
      </c>
    </row>
    <row r="81" spans="2:15">
      <c r="B81" s="29" t="s">
        <v>102</v>
      </c>
      <c r="C81" s="6">
        <f>$G$81*L62</f>
        <v>4788.8618256083355</v>
      </c>
      <c r="D81" s="6">
        <f t="shared" ref="D81:F81" si="57">$G$81*M62</f>
        <v>4788.8618256083355</v>
      </c>
      <c r="E81" s="6">
        <f t="shared" si="57"/>
        <v>4788.8618256083355</v>
      </c>
      <c r="F81" s="6">
        <f t="shared" si="57"/>
        <v>4788.8618256083355</v>
      </c>
      <c r="G81" s="6">
        <f>'Profit and Loss Statement'!F25</f>
        <v>19155.447302433342</v>
      </c>
    </row>
    <row r="82" spans="2:15">
      <c r="B82" s="29" t="s">
        <v>16</v>
      </c>
      <c r="C82" s="6">
        <f>SUM('Loan Amortization Table'!D26:D28)</f>
        <v>5229.5603463190846</v>
      </c>
      <c r="D82" s="6">
        <f>SUM('Loan Amortization Table'!D29:D31)</f>
        <v>5132.7375320747497</v>
      </c>
      <c r="E82" s="6">
        <f>SUM('Loan Amortization Table'!D32:D34)</f>
        <v>5033.7198248128898</v>
      </c>
      <c r="F82" s="6">
        <f>SUM('Loan Amortization Table'!D35:D37)</f>
        <v>4932.4574681264412</v>
      </c>
      <c r="G82" s="6">
        <f>'Profit and Loss Statement'!F26</f>
        <v>20328.475171333168</v>
      </c>
    </row>
    <row r="83" spans="2:15">
      <c r="B83" s="29" t="s">
        <v>54</v>
      </c>
      <c r="C83" s="6">
        <f>$G$83/4</f>
        <v>2500</v>
      </c>
      <c r="D83" s="6">
        <f t="shared" ref="D83:F83" si="58">$G$83/4</f>
        <v>2500</v>
      </c>
      <c r="E83" s="6">
        <f t="shared" si="58"/>
        <v>2500</v>
      </c>
      <c r="F83" s="6">
        <f t="shared" si="58"/>
        <v>2500</v>
      </c>
      <c r="G83" s="6">
        <f>'Profit and Loss Statement'!F27</f>
        <v>10000</v>
      </c>
    </row>
    <row r="84" spans="2:15">
      <c r="B84" s="38" t="s">
        <v>17</v>
      </c>
      <c r="C84" s="39">
        <f>C79-SUM(C80:C83)</f>
        <v>66896.624005030899</v>
      </c>
      <c r="D84" s="39">
        <f t="shared" ref="D84:F84" si="59">D79-SUM(D80:D83)</f>
        <v>66993.446819275239</v>
      </c>
      <c r="E84" s="39">
        <f t="shared" si="59"/>
        <v>67092.464526537107</v>
      </c>
      <c r="F84" s="39">
        <f t="shared" si="59"/>
        <v>67193.726883223542</v>
      </c>
      <c r="G84" s="39">
        <f>'Profit and Loss Statement'!F28</f>
        <v>268176.26223406679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0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369973.17</v>
      </c>
      <c r="D92" s="6">
        <f t="shared" ref="D92:F92" si="64">$G$92*M92</f>
        <v>369973.17</v>
      </c>
      <c r="E92" s="6">
        <f t="shared" si="64"/>
        <v>369973.17</v>
      </c>
      <c r="F92" s="6">
        <f t="shared" si="64"/>
        <v>369973.17</v>
      </c>
      <c r="G92" s="6">
        <f>'Profit and Loss Statement'!G6</f>
        <v>1479892.68</v>
      </c>
      <c r="K92" s="4" t="s">
        <v>114</v>
      </c>
      <c r="L92" s="107">
        <v>0.25</v>
      </c>
      <c r="M92" s="107">
        <v>0.25</v>
      </c>
      <c r="N92" s="107">
        <v>0.25</v>
      </c>
      <c r="O92" s="107">
        <v>0.25</v>
      </c>
    </row>
    <row r="93" spans="2:15">
      <c r="B93" s="31" t="s">
        <v>52</v>
      </c>
      <c r="C93" s="6">
        <f>$G$93*L92</f>
        <v>18498.658499999998</v>
      </c>
      <c r="D93" s="6">
        <f t="shared" ref="D93:F93" si="65">$G$93*M92</f>
        <v>18498.658499999998</v>
      </c>
      <c r="E93" s="6">
        <f t="shared" si="65"/>
        <v>18498.658499999998</v>
      </c>
      <c r="F93" s="6">
        <f t="shared" si="65"/>
        <v>18498.658499999998</v>
      </c>
      <c r="G93" s="6">
        <f>'Profit and Loss Statement'!G7</f>
        <v>73994.633999999991</v>
      </c>
    </row>
    <row r="94" spans="2:15">
      <c r="B94" s="29" t="s">
        <v>12</v>
      </c>
      <c r="C94" s="17">
        <f>1-(C93/C92)</f>
        <v>0.95</v>
      </c>
      <c r="D94" s="17">
        <f t="shared" ref="D94:G94" si="66">1-(D93/D92)</f>
        <v>0.95</v>
      </c>
      <c r="E94" s="17">
        <f t="shared" si="66"/>
        <v>0.95</v>
      </c>
      <c r="F94" s="17">
        <f t="shared" si="66"/>
        <v>0.95</v>
      </c>
      <c r="G94" s="17">
        <f t="shared" si="66"/>
        <v>0.95</v>
      </c>
    </row>
    <row r="95" spans="2:15">
      <c r="B95" s="30"/>
    </row>
    <row r="96" spans="2:15">
      <c r="B96" s="37" t="s">
        <v>10</v>
      </c>
      <c r="C96" s="6">
        <f>C92-C93</f>
        <v>351474.51149999996</v>
      </c>
      <c r="D96" s="6">
        <f t="shared" ref="D96:G96" si="67">D92-D93</f>
        <v>351474.51149999996</v>
      </c>
      <c r="E96" s="6">
        <f t="shared" si="67"/>
        <v>351474.51149999996</v>
      </c>
      <c r="F96" s="6">
        <f t="shared" si="67"/>
        <v>351474.51149999996</v>
      </c>
      <c r="G96" s="6">
        <f t="shared" si="67"/>
        <v>1405898.0459999999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159798.0625</v>
      </c>
      <c r="D99" s="6">
        <f>$G$99/4</f>
        <v>159798.0625</v>
      </c>
      <c r="E99" s="6">
        <f>$G$99/4</f>
        <v>159798.0625</v>
      </c>
      <c r="F99" s="6">
        <f>$G$99/4</f>
        <v>159798.0625</v>
      </c>
      <c r="G99" s="6">
        <f>'Profit and Loss Statement'!G13</f>
        <v>639192.25</v>
      </c>
    </row>
    <row r="100" spans="2:7">
      <c r="B100" s="33" t="str">
        <f>B70</f>
        <v>Facility Costs</v>
      </c>
      <c r="C100" s="6">
        <f>$G$100/4</f>
        <v>11295.932750000002</v>
      </c>
      <c r="D100" s="6">
        <f t="shared" ref="D100:F100" si="68">$G$100/4</f>
        <v>11295.932750000002</v>
      </c>
      <c r="E100" s="6">
        <f t="shared" si="68"/>
        <v>11295.932750000002</v>
      </c>
      <c r="F100" s="6">
        <f t="shared" si="68"/>
        <v>11295.932750000002</v>
      </c>
      <c r="G100" s="6">
        <f>'Profit and Loss Statement'!G14</f>
        <v>45183.731000000007</v>
      </c>
    </row>
    <row r="101" spans="2:7">
      <c r="B101" s="33" t="str">
        <f t="shared" ref="B101:B105" si="69">B71</f>
        <v>General and Administrative</v>
      </c>
      <c r="C101" s="6">
        <f>$G101/4</f>
        <v>5808.5787689999988</v>
      </c>
      <c r="D101" s="6">
        <f t="shared" ref="D101:F101" si="70">$G101/4</f>
        <v>5808.5787689999988</v>
      </c>
      <c r="E101" s="6">
        <f t="shared" si="70"/>
        <v>5808.5787689999988</v>
      </c>
      <c r="F101" s="6">
        <f t="shared" si="70"/>
        <v>5808.5787689999988</v>
      </c>
      <c r="G101" s="6">
        <f>'Profit and Loss Statement'!G15</f>
        <v>23234.315075999995</v>
      </c>
    </row>
    <row r="102" spans="2:7">
      <c r="B102" s="33" t="str">
        <f t="shared" si="69"/>
        <v>Equipment Costs</v>
      </c>
      <c r="C102" s="6">
        <f>$G$102/4</f>
        <v>5623.5921840000001</v>
      </c>
      <c r="D102" s="6">
        <f t="shared" ref="D102:F102" si="71">$G$102/4</f>
        <v>5623.5921840000001</v>
      </c>
      <c r="E102" s="6">
        <f t="shared" si="71"/>
        <v>5623.5921840000001</v>
      </c>
      <c r="F102" s="6">
        <f t="shared" si="71"/>
        <v>5623.5921840000001</v>
      </c>
      <c r="G102" s="6">
        <f>'Profit and Loss Statement'!G16</f>
        <v>22494.368736</v>
      </c>
    </row>
    <row r="103" spans="2:7">
      <c r="B103" s="33" t="str">
        <f t="shared" si="69"/>
        <v>Insurance Costs</v>
      </c>
      <c r="C103" s="6">
        <f>$G$103/4</f>
        <v>9587.8837499999991</v>
      </c>
      <c r="D103" s="6">
        <f t="shared" ref="D103:F103" si="72">$G$103/4</f>
        <v>9587.8837499999991</v>
      </c>
      <c r="E103" s="6">
        <f t="shared" si="72"/>
        <v>9587.8837499999991</v>
      </c>
      <c r="F103" s="6">
        <f t="shared" si="72"/>
        <v>9587.8837499999991</v>
      </c>
      <c r="G103" s="6">
        <f>'Profit and Loss Statement'!G17</f>
        <v>38351.534999999996</v>
      </c>
    </row>
    <row r="104" spans="2:7">
      <c r="B104" s="33" t="str">
        <f t="shared" si="69"/>
        <v>Marketing</v>
      </c>
      <c r="C104" s="6">
        <f>$G$104/4</f>
        <v>4439.6780399999998</v>
      </c>
      <c r="D104" s="6">
        <f t="shared" ref="D104:F104" si="73">$G$104/4</f>
        <v>4439.6780399999998</v>
      </c>
      <c r="E104" s="6">
        <f t="shared" si="73"/>
        <v>4439.6780399999998</v>
      </c>
      <c r="F104" s="6">
        <f t="shared" si="73"/>
        <v>4439.6780399999998</v>
      </c>
      <c r="G104" s="6">
        <f>'Profit and Loss Statement'!G18</f>
        <v>17758.712159999999</v>
      </c>
    </row>
    <row r="105" spans="2:7">
      <c r="B105" s="33" t="str">
        <f t="shared" si="69"/>
        <v>Professional Fees and Licensure</v>
      </c>
      <c r="C105" s="6">
        <f>$G$105/4</f>
        <v>1594.6875</v>
      </c>
      <c r="D105" s="6">
        <f t="shared" ref="D105:F105" si="74">$G$105/4</f>
        <v>1594.6875</v>
      </c>
      <c r="E105" s="6">
        <f t="shared" si="74"/>
        <v>1594.6875</v>
      </c>
      <c r="F105" s="6">
        <f t="shared" si="74"/>
        <v>1594.6875</v>
      </c>
      <c r="G105" s="6">
        <f>'Profit and Loss Statement'!G19</f>
        <v>6378.75</v>
      </c>
    </row>
    <row r="106" spans="2:7">
      <c r="B106" s="29" t="s">
        <v>14</v>
      </c>
      <c r="C106" s="6">
        <f>$G$106/4</f>
        <v>12224.55178125</v>
      </c>
      <c r="D106" s="6">
        <f t="shared" ref="D106:F106" si="75">$G$106/4</f>
        <v>12224.55178125</v>
      </c>
      <c r="E106" s="6">
        <f t="shared" si="75"/>
        <v>12224.55178125</v>
      </c>
      <c r="F106" s="6">
        <f t="shared" si="75"/>
        <v>12224.55178125</v>
      </c>
      <c r="G106" s="6">
        <f>'Profit and Loss Statement'!G20</f>
        <v>48898.207125000001</v>
      </c>
    </row>
    <row r="107" spans="2:7">
      <c r="B107" s="28" t="s">
        <v>8</v>
      </c>
      <c r="C107" s="6">
        <f>SUM(C99:C106)</f>
        <v>210372.96727425</v>
      </c>
      <c r="D107" s="6">
        <f t="shared" ref="D107:F107" si="76">SUM(D99:D106)</f>
        <v>210372.96727425</v>
      </c>
      <c r="E107" s="6">
        <f t="shared" si="76"/>
        <v>210372.96727425</v>
      </c>
      <c r="F107" s="6">
        <f t="shared" si="76"/>
        <v>210372.96727425</v>
      </c>
      <c r="G107" s="6">
        <f>SUM(G99:G106)</f>
        <v>841491.86909699999</v>
      </c>
    </row>
    <row r="108" spans="2:7">
      <c r="B108" s="30"/>
    </row>
    <row r="109" spans="2:7">
      <c r="B109" s="24" t="s">
        <v>47</v>
      </c>
      <c r="C109" s="25">
        <f>C96-C107</f>
        <v>141101.54422574997</v>
      </c>
      <c r="D109" s="25">
        <f t="shared" ref="D109:G109" si="77">D96-D107</f>
        <v>141101.54422574997</v>
      </c>
      <c r="E109" s="25">
        <f t="shared" si="77"/>
        <v>141101.54422574997</v>
      </c>
      <c r="F109" s="25">
        <f t="shared" si="77"/>
        <v>141101.54422574997</v>
      </c>
      <c r="G109" s="25">
        <f t="shared" si="77"/>
        <v>564406.17690299987</v>
      </c>
    </row>
    <row r="110" spans="2:7">
      <c r="B110" s="29" t="s">
        <v>15</v>
      </c>
      <c r="C110" s="6">
        <f>$G$110*L92</f>
        <v>33483.479309071066</v>
      </c>
      <c r="D110" s="6">
        <f t="shared" ref="D110:F110" si="78">$G$110*M92</f>
        <v>33483.479309071066</v>
      </c>
      <c r="E110" s="6">
        <f t="shared" si="78"/>
        <v>33483.479309071066</v>
      </c>
      <c r="F110" s="6">
        <f t="shared" si="78"/>
        <v>33483.479309071066</v>
      </c>
      <c r="G110" s="6">
        <f>'Profit and Loss Statement'!G24</f>
        <v>133933.91723628427</v>
      </c>
    </row>
    <row r="111" spans="2:7">
      <c r="B111" s="29" t="s">
        <v>102</v>
      </c>
      <c r="C111" s="6">
        <f>$G$111*L92</f>
        <v>6696.6958618142135</v>
      </c>
      <c r="D111" s="6">
        <f t="shared" ref="D111:F111" si="79">$G$111*M92</f>
        <v>6696.6958618142135</v>
      </c>
      <c r="E111" s="6">
        <f t="shared" si="79"/>
        <v>6696.6958618142135</v>
      </c>
      <c r="F111" s="6">
        <f t="shared" si="79"/>
        <v>6696.6958618142135</v>
      </c>
      <c r="G111" s="6">
        <f>'Profit and Loss Statement'!G25</f>
        <v>26786.783447256854</v>
      </c>
    </row>
    <row r="112" spans="2:7">
      <c r="B112" s="29" t="s">
        <v>16</v>
      </c>
      <c r="C112" s="6">
        <f>SUM('Loan Amortization Table'!D38:D40)</f>
        <v>4828.8995776718011</v>
      </c>
      <c r="D112" s="6">
        <f>SUM('Loan Amortization Table'!D41:D43)</f>
        <v>4722.994115599432</v>
      </c>
      <c r="E112" s="6">
        <f>SUM('Loan Amortization Table'!D44:D46)</f>
        <v>4614.6878644048429</v>
      </c>
      <c r="F112" s="6">
        <f>SUM('Loan Amortization Table'!D47:D49)</f>
        <v>4503.9264001867869</v>
      </c>
      <c r="G112" s="6">
        <f>'Profit and Loss Statement'!G26</f>
        <v>18670.507957862861</v>
      </c>
    </row>
    <row r="113" spans="2:15">
      <c r="B113" s="29" t="s">
        <v>54</v>
      </c>
      <c r="C113" s="6">
        <f>$G$113/4</f>
        <v>2500</v>
      </c>
      <c r="D113" s="6">
        <f>$G$113/4</f>
        <v>2500</v>
      </c>
      <c r="E113" s="6">
        <f>$G$113/4</f>
        <v>2500</v>
      </c>
      <c r="F113" s="6">
        <f>$G$113/4</f>
        <v>2500</v>
      </c>
      <c r="G113" s="6">
        <f>'Profit and Loss Statement'!G27</f>
        <v>10000</v>
      </c>
    </row>
    <row r="114" spans="2:15">
      <c r="B114" s="38" t="s">
        <v>17</v>
      </c>
      <c r="C114" s="39">
        <f>C109-SUM(C110:C113)</f>
        <v>93592.469477192877</v>
      </c>
      <c r="D114" s="39">
        <f t="shared" ref="D114:F114" si="80">D109-SUM(D110:D113)</f>
        <v>93698.374939265253</v>
      </c>
      <c r="E114" s="39">
        <f t="shared" si="80"/>
        <v>93806.681190459843</v>
      </c>
      <c r="F114" s="39">
        <f t="shared" si="80"/>
        <v>93917.4426546779</v>
      </c>
      <c r="G114" s="39">
        <f>'Profit and Loss Statement'!G28</f>
        <v>375014.96826159587</v>
      </c>
    </row>
    <row r="117" spans="2:15">
      <c r="B117" s="112"/>
      <c r="K117" s="112"/>
    </row>
    <row r="118" spans="2:15">
      <c r="C118" s="120"/>
      <c r="D118" s="120"/>
      <c r="E118" s="120"/>
      <c r="F118" s="120"/>
      <c r="G118" s="120"/>
      <c r="L118" s="120"/>
      <c r="M118" s="120"/>
      <c r="N118" s="120"/>
      <c r="O118" s="120"/>
    </row>
    <row r="119" spans="2:15">
      <c r="B119" s="124"/>
      <c r="C119" s="1"/>
      <c r="D119" s="1"/>
      <c r="E119" s="1"/>
      <c r="F119" s="1"/>
      <c r="G119" s="1"/>
      <c r="L119" s="126"/>
      <c r="M119" s="126"/>
      <c r="N119" s="126"/>
      <c r="O119" s="126"/>
    </row>
    <row r="120" spans="2:15">
      <c r="C120" s="1"/>
      <c r="D120" s="1"/>
      <c r="E120" s="1"/>
      <c r="F120" s="1"/>
      <c r="G120" s="1"/>
    </row>
    <row r="121" spans="2:15">
      <c r="C121" s="125"/>
      <c r="D121" s="125"/>
      <c r="E121" s="125"/>
      <c r="F121" s="125"/>
      <c r="G121" s="125"/>
    </row>
    <row r="123" spans="2:15">
      <c r="B123" s="124"/>
      <c r="C123" s="1"/>
      <c r="D123" s="1"/>
      <c r="E123" s="1"/>
      <c r="F123" s="1"/>
      <c r="G123" s="1"/>
    </row>
    <row r="125" spans="2:15">
      <c r="I125" s="112"/>
      <c r="J125" s="112"/>
      <c r="K125" s="112"/>
    </row>
    <row r="126" spans="2:15">
      <c r="C126" s="1"/>
      <c r="D126" s="1"/>
      <c r="E126" s="1"/>
      <c r="F126" s="1"/>
      <c r="G126" s="1"/>
      <c r="I126" s="114">
        <f>SUM(C126:F126)</f>
        <v>0</v>
      </c>
      <c r="J126" s="114">
        <f>G126-I126</f>
        <v>0</v>
      </c>
      <c r="K126" s="112"/>
    </row>
    <row r="127" spans="2:15">
      <c r="C127" s="1"/>
      <c r="D127" s="1"/>
      <c r="E127" s="1"/>
      <c r="F127" s="1"/>
      <c r="G127" s="1"/>
      <c r="I127" s="114">
        <f t="shared" ref="I127:I133" si="81">SUM(C127:F127)</f>
        <v>0</v>
      </c>
      <c r="J127" s="114">
        <f t="shared" ref="J127:J133" si="82">G127-I127</f>
        <v>0</v>
      </c>
      <c r="K127" s="112"/>
    </row>
    <row r="128" spans="2:15">
      <c r="C128" s="1"/>
      <c r="D128" s="1"/>
      <c r="E128" s="1"/>
      <c r="F128" s="1"/>
      <c r="G128" s="1"/>
      <c r="I128" s="114">
        <f t="shared" si="81"/>
        <v>0</v>
      </c>
      <c r="J128" s="114">
        <f t="shared" si="82"/>
        <v>0</v>
      </c>
      <c r="K128" s="112"/>
    </row>
    <row r="129" spans="2:11">
      <c r="C129" s="1"/>
      <c r="D129" s="1"/>
      <c r="E129" s="1"/>
      <c r="F129" s="1"/>
      <c r="G129" s="1"/>
      <c r="I129" s="114">
        <f t="shared" si="81"/>
        <v>0</v>
      </c>
      <c r="J129" s="114">
        <f t="shared" si="82"/>
        <v>0</v>
      </c>
      <c r="K129" s="112"/>
    </row>
    <row r="130" spans="2:11">
      <c r="C130" s="1"/>
      <c r="D130" s="1"/>
      <c r="E130" s="1"/>
      <c r="F130" s="1"/>
      <c r="G130" s="1"/>
      <c r="I130" s="114">
        <f t="shared" si="81"/>
        <v>0</v>
      </c>
      <c r="J130" s="114">
        <f t="shared" si="82"/>
        <v>0</v>
      </c>
      <c r="K130" s="112"/>
    </row>
    <row r="131" spans="2:11">
      <c r="C131" s="1"/>
      <c r="D131" s="1"/>
      <c r="E131" s="1"/>
      <c r="F131" s="1"/>
      <c r="G131" s="1"/>
      <c r="I131" s="114">
        <f t="shared" si="81"/>
        <v>0</v>
      </c>
      <c r="J131" s="114">
        <f t="shared" si="82"/>
        <v>0</v>
      </c>
      <c r="K131" s="112"/>
    </row>
    <row r="132" spans="2:11">
      <c r="C132" s="1"/>
      <c r="D132" s="1"/>
      <c r="E132" s="1"/>
      <c r="F132" s="1"/>
      <c r="G132" s="1"/>
      <c r="I132" s="114">
        <f t="shared" si="81"/>
        <v>0</v>
      </c>
      <c r="J132" s="114">
        <f t="shared" si="82"/>
        <v>0</v>
      </c>
      <c r="K132" s="112"/>
    </row>
    <row r="133" spans="2:11">
      <c r="C133" s="1"/>
      <c r="D133" s="1"/>
      <c r="E133" s="1"/>
      <c r="F133" s="1"/>
      <c r="G133" s="1"/>
      <c r="I133" s="114">
        <f t="shared" si="81"/>
        <v>0</v>
      </c>
      <c r="J133" s="114">
        <f t="shared" si="82"/>
        <v>0</v>
      </c>
      <c r="K133" s="112"/>
    </row>
    <row r="134" spans="2:11">
      <c r="B134" s="124"/>
      <c r="C134" s="1"/>
      <c r="D134" s="1"/>
      <c r="E134" s="1"/>
      <c r="F134" s="1"/>
      <c r="G134" s="1"/>
      <c r="I134" s="114"/>
      <c r="J134" s="112"/>
      <c r="K134" s="112"/>
    </row>
    <row r="136" spans="2:11">
      <c r="B136" s="124"/>
      <c r="C136" s="123"/>
      <c r="D136" s="123"/>
      <c r="E136" s="123"/>
      <c r="F136" s="123"/>
      <c r="G136" s="123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4"/>
      <c r="C141" s="123"/>
      <c r="D141" s="123"/>
      <c r="E141" s="123"/>
      <c r="F141" s="123"/>
      <c r="G141" s="123"/>
    </row>
    <row r="144" spans="2:11">
      <c r="B144" s="112"/>
      <c r="K144" s="112"/>
    </row>
    <row r="145" spans="2:15">
      <c r="C145" s="120"/>
      <c r="D145" s="120"/>
      <c r="E145" s="120"/>
      <c r="F145" s="120"/>
      <c r="G145" s="120"/>
      <c r="L145" s="120"/>
      <c r="M145" s="120"/>
      <c r="N145" s="120"/>
      <c r="O145" s="120"/>
    </row>
    <row r="146" spans="2:15">
      <c r="B146" s="124"/>
      <c r="C146" s="1"/>
      <c r="D146" s="1"/>
      <c r="E146" s="1"/>
      <c r="F146" s="1"/>
      <c r="G146" s="1"/>
      <c r="L146" s="126"/>
      <c r="M146" s="126"/>
      <c r="N146" s="126"/>
      <c r="O146" s="126"/>
    </row>
    <row r="147" spans="2:15">
      <c r="C147" s="1"/>
      <c r="D147" s="1"/>
      <c r="E147" s="1"/>
      <c r="F147" s="1"/>
      <c r="G147" s="1"/>
    </row>
    <row r="148" spans="2:15">
      <c r="C148" s="125"/>
      <c r="D148" s="125"/>
      <c r="E148" s="125"/>
      <c r="F148" s="125"/>
      <c r="G148" s="125"/>
    </row>
    <row r="150" spans="2:15">
      <c r="B150" s="124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4"/>
      <c r="C161" s="1"/>
      <c r="D161" s="1"/>
      <c r="E161" s="1"/>
      <c r="F161" s="1"/>
      <c r="G161" s="1"/>
    </row>
    <row r="163" spans="2:7">
      <c r="B163" s="124"/>
      <c r="C163" s="123"/>
      <c r="D163" s="123"/>
      <c r="E163" s="123"/>
      <c r="F163" s="123"/>
      <c r="G163" s="123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4"/>
      <c r="C168" s="123"/>
      <c r="D168" s="123"/>
      <c r="E168" s="123"/>
      <c r="F168" s="123"/>
      <c r="G168" s="123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J151"/>
  <sheetViews>
    <sheetView showGridLines="0" workbookViewId="0">
      <selection activeCell="S11" sqref="S11"/>
    </sheetView>
  </sheetViews>
  <sheetFormatPr defaultRowHeight="15"/>
  <cols>
    <col min="3" max="3" width="27.5703125" customWidth="1"/>
    <col min="4" max="6" width="11.140625" bestFit="1" customWidth="1"/>
    <col min="7" max="7" width="10.85546875" bestFit="1" customWidth="1"/>
    <col min="8" max="8" width="11.140625" bestFit="1" customWidth="1"/>
    <col min="9" max="9" width="11.85546875" customWidth="1"/>
    <col min="10" max="10" width="10.140625" bestFit="1" customWidth="1"/>
  </cols>
  <sheetData>
    <row r="4" spans="3:10">
      <c r="C4" s="7" t="s">
        <v>66</v>
      </c>
      <c r="D4" s="3"/>
      <c r="E4" s="3"/>
      <c r="F4" s="3"/>
      <c r="G4" s="3"/>
      <c r="H4" s="3"/>
      <c r="I4" s="3"/>
      <c r="J4" s="3"/>
    </row>
    <row r="5" spans="3:10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10">
      <c r="C6" s="41" t="s">
        <v>67</v>
      </c>
      <c r="D6" s="13">
        <f>'Expanded Profit and Loss'!C28+'Expanded Profit and Loss'!C27</f>
        <v>12930.758029935214</v>
      </c>
      <c r="E6" s="13">
        <f>'Expanded Profit and Loss'!D28+'Expanded Profit and Loss'!D27</f>
        <v>12959.163035665526</v>
      </c>
      <c r="F6" s="13">
        <f>'Expanded Profit and Loss'!E28+'Expanded Profit and Loss'!E27</f>
        <v>12987.640710452672</v>
      </c>
      <c r="G6" s="13">
        <f>'Expanded Profit and Loss'!F28+'Expanded Profit and Loss'!F27</f>
        <v>13016.191599314596</v>
      </c>
      <c r="H6" s="13">
        <f>'Expanded Profit and Loss'!G28+'Expanded Profit and Loss'!G27</f>
        <v>13044.81625135683</v>
      </c>
      <c r="I6" s="13">
        <f>'Expanded Profit and Loss'!H28+'Expanded Profit and Loss'!H27</f>
        <v>13073.515219803237</v>
      </c>
      <c r="J6" s="13">
        <f>'Expanded Profit and Loss'!I28+'Expanded Profit and Loss'!I27</f>
        <v>13102.289062026852</v>
      </c>
    </row>
    <row r="7" spans="3:10">
      <c r="C7" s="30"/>
    </row>
    <row r="8" spans="3:10">
      <c r="C8" s="35" t="s">
        <v>19</v>
      </c>
    </row>
    <row r="9" spans="3:10">
      <c r="C9" s="12" t="s">
        <v>20</v>
      </c>
      <c r="D9" s="13">
        <f>'Cash Flow Analysis'!E9</f>
        <v>50000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10">
      <c r="C10" s="31" t="s">
        <v>21</v>
      </c>
      <c r="D10" s="6">
        <f>'Cash Flow Analysis'!E10</f>
        <v>250000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10">
      <c r="C11" s="12" t="s">
        <v>22</v>
      </c>
      <c r="D11" s="13">
        <f>$I$36/12</f>
        <v>708.5</v>
      </c>
      <c r="E11" s="13">
        <f t="shared" ref="E11:J11" si="1">$I$36/12</f>
        <v>708.5</v>
      </c>
      <c r="F11" s="13">
        <f t="shared" si="1"/>
        <v>708.5</v>
      </c>
      <c r="G11" s="13">
        <f t="shared" si="1"/>
        <v>708.5</v>
      </c>
      <c r="H11" s="13">
        <f t="shared" si="1"/>
        <v>708.5</v>
      </c>
      <c r="I11" s="13">
        <f t="shared" si="1"/>
        <v>708.5</v>
      </c>
      <c r="J11" s="13">
        <f t="shared" si="1"/>
        <v>708.5</v>
      </c>
    </row>
    <row r="12" spans="3:10">
      <c r="C12" s="37" t="s">
        <v>23</v>
      </c>
      <c r="D12" s="26">
        <f>SUM(D9:D11)</f>
        <v>300708.5</v>
      </c>
      <c r="E12" s="26">
        <f t="shared" ref="E12:J12" si="2">SUM(E9:E11)</f>
        <v>708.5</v>
      </c>
      <c r="F12" s="26">
        <f t="shared" si="2"/>
        <v>708.5</v>
      </c>
      <c r="G12" s="26">
        <f t="shared" si="2"/>
        <v>708.5</v>
      </c>
      <c r="H12" s="26">
        <f t="shared" si="2"/>
        <v>708.5</v>
      </c>
      <c r="I12" s="26">
        <f t="shared" si="2"/>
        <v>708.5</v>
      </c>
      <c r="J12" s="26">
        <f t="shared" si="2"/>
        <v>708.5</v>
      </c>
    </row>
    <row r="13" spans="3:10">
      <c r="C13" s="30"/>
    </row>
    <row r="14" spans="3:10">
      <c r="C14" s="30"/>
    </row>
    <row r="15" spans="3:10">
      <c r="C15" s="41" t="s">
        <v>18</v>
      </c>
      <c r="D15" s="27">
        <f>D6+D12</f>
        <v>313639.25802993524</v>
      </c>
      <c r="E15" s="27">
        <f t="shared" ref="E15:J15" si="3">E6+E12</f>
        <v>13667.663035665526</v>
      </c>
      <c r="F15" s="27">
        <f t="shared" si="3"/>
        <v>13696.140710452672</v>
      </c>
      <c r="G15" s="27">
        <f t="shared" si="3"/>
        <v>13724.691599314596</v>
      </c>
      <c r="H15" s="27">
        <f t="shared" si="3"/>
        <v>13753.31625135683</v>
      </c>
      <c r="I15" s="27">
        <f t="shared" si="3"/>
        <v>13782.015219803237</v>
      </c>
      <c r="J15" s="27">
        <f t="shared" si="3"/>
        <v>13810.789062026852</v>
      </c>
    </row>
    <row r="16" spans="3:10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1291.894343756237</v>
      </c>
      <c r="E18" s="6">
        <f>'Loan Amortization Table'!C15</f>
        <v>1301.5835513344089</v>
      </c>
      <c r="F18" s="6">
        <f>'Loan Amortization Table'!C16</f>
        <v>1311.345427969417</v>
      </c>
      <c r="G18" s="6">
        <f>'Loan Amortization Table'!C17</f>
        <v>1321.1805186791876</v>
      </c>
      <c r="H18" s="6">
        <f>'Loan Amortization Table'!C18</f>
        <v>1331.0893725692813</v>
      </c>
      <c r="I18" s="6">
        <f>'Loan Amortization Table'!C19</f>
        <v>1341.072542863551</v>
      </c>
      <c r="J18" s="6">
        <f>'Loan Amortization Table'!C20</f>
        <v>1351.1305869350276</v>
      </c>
    </row>
    <row r="19" spans="3:10">
      <c r="C19" s="12" t="s">
        <v>25</v>
      </c>
      <c r="D19" s="13">
        <f>$I$44/12</f>
        <v>495.95</v>
      </c>
      <c r="E19" s="13">
        <f t="shared" ref="E19:J19" si="4">$I$44/12</f>
        <v>495.95</v>
      </c>
      <c r="F19" s="13">
        <f t="shared" si="4"/>
        <v>495.95</v>
      </c>
      <c r="G19" s="13">
        <f t="shared" si="4"/>
        <v>495.95</v>
      </c>
      <c r="H19" s="13">
        <f t="shared" si="4"/>
        <v>495.95</v>
      </c>
      <c r="I19" s="13">
        <f t="shared" si="4"/>
        <v>495.95</v>
      </c>
      <c r="J19" s="13">
        <f t="shared" si="4"/>
        <v>495.95</v>
      </c>
    </row>
    <row r="20" spans="3:10">
      <c r="C20" s="31" t="s">
        <v>33</v>
      </c>
      <c r="D20" s="6">
        <f>I45</f>
        <v>200000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201787.84434375624</v>
      </c>
      <c r="E22" s="26">
        <f t="shared" ref="E22:J22" si="5">SUM(E18:E21)</f>
        <v>1797.5335513344089</v>
      </c>
      <c r="F22" s="26">
        <f t="shared" si="5"/>
        <v>1807.295427969417</v>
      </c>
      <c r="G22" s="26">
        <f t="shared" si="5"/>
        <v>1817.1305186791876</v>
      </c>
      <c r="H22" s="26">
        <f t="shared" si="5"/>
        <v>1827.0393725692813</v>
      </c>
      <c r="I22" s="26">
        <f t="shared" si="5"/>
        <v>1837.0225428635511</v>
      </c>
      <c r="J22" s="26">
        <f t="shared" si="5"/>
        <v>1847.0805869350277</v>
      </c>
    </row>
    <row r="23" spans="3:10">
      <c r="C23" s="30"/>
    </row>
    <row r="24" spans="3:10">
      <c r="C24" s="42" t="s">
        <v>27</v>
      </c>
      <c r="D24" s="25">
        <f>D15-D22</f>
        <v>111851.413686179</v>
      </c>
      <c r="E24" s="25">
        <f t="shared" ref="E24:J24" si="6">E15-E22</f>
        <v>11870.129484331117</v>
      </c>
      <c r="F24" s="25">
        <f t="shared" si="6"/>
        <v>11888.845282483255</v>
      </c>
      <c r="G24" s="25">
        <f t="shared" si="6"/>
        <v>11907.561080635409</v>
      </c>
      <c r="H24" s="25">
        <f t="shared" si="6"/>
        <v>11926.276878787548</v>
      </c>
      <c r="I24" s="25">
        <f t="shared" si="6"/>
        <v>11944.992676939686</v>
      </c>
      <c r="J24" s="25">
        <f t="shared" si="6"/>
        <v>11963.708475091824</v>
      </c>
    </row>
    <row r="25" spans="3:10">
      <c r="C25" s="42" t="s">
        <v>6</v>
      </c>
      <c r="D25" s="25">
        <f>D24</f>
        <v>111851.413686179</v>
      </c>
      <c r="E25" s="25">
        <f>D25+E24</f>
        <v>123721.54317051012</v>
      </c>
      <c r="F25" s="25">
        <f t="shared" ref="F25:J25" si="7">E25+F24</f>
        <v>135610.38845299339</v>
      </c>
      <c r="G25" s="25">
        <f t="shared" si="7"/>
        <v>147517.94953362879</v>
      </c>
      <c r="H25" s="25">
        <f t="shared" si="7"/>
        <v>159444.22641241635</v>
      </c>
      <c r="I25" s="25">
        <f t="shared" si="7"/>
        <v>171389.21908935605</v>
      </c>
      <c r="J25" s="25">
        <f t="shared" si="7"/>
        <v>183352.92756444786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13131.138339581004</v>
      </c>
      <c r="E31" s="13">
        <f>'Expanded Profit and Loss'!D56+'Expanded Profit and Loss'!D55</f>
        <v>13160.063618230686</v>
      </c>
      <c r="F31" s="13">
        <f>'Expanded Profit and Loss'!E56+'Expanded Profit and Loss'!E55</f>
        <v>13189.065467984083</v>
      </c>
      <c r="G31" s="13">
        <f>'Expanded Profit and Loss'!F56+'Expanded Profit and Loss'!F55</f>
        <v>13218.14446312449</v>
      </c>
      <c r="H31" s="13">
        <f>'Expanded Profit and Loss'!G56+'Expanded Profit and Loss'!G55</f>
        <v>13247.301182242309</v>
      </c>
      <c r="I31" s="13">
        <f>'Cash Flow Analysis'!E6</f>
        <v>157060.08697971748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50000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250000</v>
      </c>
      <c r="J35" s="30"/>
    </row>
    <row r="36" spans="3:10">
      <c r="C36" s="12" t="s">
        <v>22</v>
      </c>
      <c r="D36" s="13">
        <f>$I$36/12</f>
        <v>708.5</v>
      </c>
      <c r="E36" s="13">
        <f t="shared" ref="E36:H36" si="11">$I$36/12</f>
        <v>708.5</v>
      </c>
      <c r="F36" s="13">
        <f t="shared" si="11"/>
        <v>708.5</v>
      </c>
      <c r="G36" s="13">
        <f t="shared" si="11"/>
        <v>708.5</v>
      </c>
      <c r="H36" s="13">
        <f t="shared" si="11"/>
        <v>708.5</v>
      </c>
      <c r="I36" s="20">
        <f>'Cash Flow Analysis'!E11</f>
        <v>8502</v>
      </c>
      <c r="J36" s="30"/>
    </row>
    <row r="37" spans="3:10">
      <c r="C37" s="37" t="s">
        <v>23</v>
      </c>
      <c r="D37" s="26">
        <f>SUM(D34:D36)</f>
        <v>708.5</v>
      </c>
      <c r="E37" s="26">
        <f t="shared" ref="E37:H37" si="12">SUM(E34:E36)</f>
        <v>708.5</v>
      </c>
      <c r="F37" s="26">
        <f t="shared" si="12"/>
        <v>708.5</v>
      </c>
      <c r="G37" s="26">
        <f t="shared" si="12"/>
        <v>708.5</v>
      </c>
      <c r="H37" s="26">
        <f t="shared" si="12"/>
        <v>708.5</v>
      </c>
      <c r="I37" s="44">
        <f>'Cash Flow Analysis'!E12</f>
        <v>308502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13839.638339581004</v>
      </c>
      <c r="E40" s="27">
        <f t="shared" ref="E40:H40" si="13">E31+E37</f>
        <v>13868.563618230686</v>
      </c>
      <c r="F40" s="27">
        <f t="shared" si="13"/>
        <v>13897.565467984083</v>
      </c>
      <c r="G40" s="27">
        <f t="shared" si="13"/>
        <v>13926.64446312449</v>
      </c>
      <c r="H40" s="27">
        <f t="shared" si="13"/>
        <v>13955.801182242309</v>
      </c>
      <c r="I40" s="36">
        <f>'Cash Flow Analysis'!E15</f>
        <v>465562.08697971748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1361.2640663370405</v>
      </c>
      <c r="E43" s="6">
        <f>'Loan Amortization Table'!C22</f>
        <v>1371.4735468345682</v>
      </c>
      <c r="F43" s="6">
        <f>'Loan Amortization Table'!C23</f>
        <v>1381.7595984358277</v>
      </c>
      <c r="G43" s="6">
        <f>'Loan Amortization Table'!C24</f>
        <v>1392.1227954240965</v>
      </c>
      <c r="H43" s="6">
        <f>'Loan Amortization Table'!C25</f>
        <v>1402.5637163897773</v>
      </c>
      <c r="I43" s="6">
        <f>'Cash Flow Analysis'!E18</f>
        <v>16158.48006752842</v>
      </c>
      <c r="J43" s="30"/>
    </row>
    <row r="44" spans="3:10">
      <c r="C44" s="12" t="s">
        <v>25</v>
      </c>
      <c r="D44" s="13">
        <f>$I$44/12</f>
        <v>495.95</v>
      </c>
      <c r="E44" s="13">
        <f t="shared" ref="E44:H44" si="14">$I$44/12</f>
        <v>495.95</v>
      </c>
      <c r="F44" s="13">
        <f t="shared" si="14"/>
        <v>495.95</v>
      </c>
      <c r="G44" s="13">
        <f t="shared" si="14"/>
        <v>495.95</v>
      </c>
      <c r="H44" s="13">
        <f t="shared" si="14"/>
        <v>495.95</v>
      </c>
      <c r="I44" s="13">
        <f>'Cash Flow Analysis'!E19</f>
        <v>5951.4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200000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109942.06088580223</v>
      </c>
      <c r="I46" s="13">
        <f>'Cash Flow Analysis'!E21</f>
        <v>109942.06088580223</v>
      </c>
      <c r="J46" s="30"/>
    </row>
    <row r="47" spans="3:10">
      <c r="C47" s="37" t="s">
        <v>26</v>
      </c>
      <c r="D47" s="26">
        <f>SUM(D43:D46)</f>
        <v>1857.2140663370405</v>
      </c>
      <c r="E47" s="26">
        <f t="shared" ref="E47:H47" si="15">SUM(E43:E46)</f>
        <v>1867.4235468345682</v>
      </c>
      <c r="F47" s="26">
        <f t="shared" si="15"/>
        <v>1877.7095984358277</v>
      </c>
      <c r="G47" s="26">
        <f t="shared" si="15"/>
        <v>1888.0727954240965</v>
      </c>
      <c r="H47" s="26">
        <f t="shared" si="15"/>
        <v>111840.57460219201</v>
      </c>
      <c r="I47" s="26">
        <f>'Cash Flow Analysis'!E22</f>
        <v>332051.94095333066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11982.424273243963</v>
      </c>
      <c r="E49" s="25">
        <f t="shared" ref="E49:H49" si="16">E40-E47</f>
        <v>12001.140071396117</v>
      </c>
      <c r="F49" s="25">
        <f t="shared" si="16"/>
        <v>12019.855869548255</v>
      </c>
      <c r="G49" s="25">
        <f t="shared" si="16"/>
        <v>12038.571667700395</v>
      </c>
      <c r="H49" s="25">
        <f t="shared" si="16"/>
        <v>-97884.773419949692</v>
      </c>
      <c r="I49" s="45">
        <f>'Cash Flow Analysis'!E24</f>
        <v>133510.14602638682</v>
      </c>
      <c r="J49" s="30"/>
    </row>
    <row r="50" spans="3:10">
      <c r="C50" s="42" t="s">
        <v>6</v>
      </c>
      <c r="D50" s="25">
        <f>J25+D49</f>
        <v>195335.35183769182</v>
      </c>
      <c r="E50" s="25">
        <f>D50+E49</f>
        <v>207336.49190908793</v>
      </c>
      <c r="F50" s="25">
        <f t="shared" ref="F50:H50" si="17">E50+F49</f>
        <v>219356.34777863618</v>
      </c>
      <c r="G50" s="25">
        <f t="shared" si="17"/>
        <v>231394.91944633657</v>
      </c>
      <c r="H50" s="25">
        <f t="shared" si="17"/>
        <v>133510.14602638688</v>
      </c>
      <c r="I50" s="45">
        <f>'Cash Flow Analysis'!E25</f>
        <v>133510.14602638682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69396.624005030899</v>
      </c>
      <c r="E58" s="48">
        <f>'Expanded Profit and Loss'!D84+'Expanded Profit and Loss'!D83</f>
        <v>69493.446819275239</v>
      </c>
      <c r="F58" s="48">
        <f>'Expanded Profit and Loss'!E84+'Expanded Profit and Loss'!E83</f>
        <v>69592.464526537107</v>
      </c>
      <c r="G58" s="48">
        <f>'Expanded Profit and Loss'!F84+'Expanded Profit and Loss'!F83</f>
        <v>69693.726883223542</v>
      </c>
      <c r="H58" s="46">
        <f>'Cash Flow Analysis'!F6</f>
        <v>278176.26223406679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2168.0100000000002</v>
      </c>
      <c r="E63" s="49">
        <f>$H$63/4</f>
        <v>2168.0100000000002</v>
      </c>
      <c r="F63" s="49">
        <f>$H$63/4</f>
        <v>2168.0100000000002</v>
      </c>
      <c r="G63" s="49">
        <f>$H$63/4</f>
        <v>2168.0100000000002</v>
      </c>
      <c r="H63" s="13">
        <f>'Cash Flow Analysis'!F11</f>
        <v>8672.0400000000009</v>
      </c>
    </row>
    <row r="64" spans="3:10">
      <c r="C64" s="37" t="s">
        <v>23</v>
      </c>
      <c r="D64" s="51">
        <f>SUM(D61:D63)</f>
        <v>2168.0100000000002</v>
      </c>
      <c r="E64" s="51">
        <f t="shared" ref="E64:G64" si="18">SUM(E61:E63)</f>
        <v>2168.0100000000002</v>
      </c>
      <c r="F64" s="51">
        <f t="shared" si="18"/>
        <v>2168.0100000000002</v>
      </c>
      <c r="G64" s="51">
        <f t="shared" si="18"/>
        <v>2168.0100000000002</v>
      </c>
      <c r="H64" s="32">
        <f>'Cash Flow Analysis'!F12</f>
        <v>8672.0400000000009</v>
      </c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41" t="s">
        <v>18</v>
      </c>
      <c r="D67" s="48">
        <f>D58+D64</f>
        <v>71564.634005030894</v>
      </c>
      <c r="E67" s="48">
        <f t="shared" ref="E67:G67" si="19">E58+E64</f>
        <v>71661.456819275234</v>
      </c>
      <c r="F67" s="48">
        <f t="shared" si="19"/>
        <v>71760.474526537102</v>
      </c>
      <c r="G67" s="48">
        <f t="shared" si="19"/>
        <v>71861.736883223537</v>
      </c>
      <c r="H67" s="27">
        <f>'Cash Flow Analysis'!F15</f>
        <v>286848.30223406677</v>
      </c>
    </row>
    <row r="68" spans="3:8">
      <c r="C68" s="30"/>
      <c r="D68" s="30"/>
      <c r="E68" s="30"/>
      <c r="F68" s="30"/>
      <c r="G68" s="30"/>
      <c r="H68" s="30"/>
    </row>
    <row r="69" spans="3:8">
      <c r="C69" s="30" t="s">
        <v>24</v>
      </c>
      <c r="D69" s="30"/>
      <c r="E69" s="30"/>
      <c r="F69" s="30"/>
      <c r="G69" s="30"/>
      <c r="H69" s="30"/>
    </row>
    <row r="70" spans="3:8">
      <c r="C70" s="31" t="s">
        <v>68</v>
      </c>
      <c r="D70" s="50">
        <f>SUM('Loan Amortization Table'!C26:C28)</f>
        <v>4271.122684949627</v>
      </c>
      <c r="E70" s="50">
        <f>SUM('Loan Amortization Table'!C29:C31)</f>
        <v>4367.945499193962</v>
      </c>
      <c r="F70" s="50">
        <f>SUM('Loan Amortization Table'!C32:C34)</f>
        <v>4466.9632064558218</v>
      </c>
      <c r="G70" s="50">
        <f>SUM('Loan Amortization Table'!C35:C37)</f>
        <v>4568.2255631422695</v>
      </c>
      <c r="H70" s="32">
        <f>'Cash Flow Analysis'!F18</f>
        <v>17674.256953741678</v>
      </c>
    </row>
    <row r="71" spans="3:8">
      <c r="C71" s="12" t="s">
        <v>25</v>
      </c>
      <c r="D71" s="49">
        <f>$H$71/4</f>
        <v>1517.607</v>
      </c>
      <c r="E71" s="49">
        <f>$H$71/4</f>
        <v>1517.607</v>
      </c>
      <c r="F71" s="49">
        <f>$H$71/4</f>
        <v>1517.607</v>
      </c>
      <c r="G71" s="49">
        <f>$H$71/4</f>
        <v>1517.607</v>
      </c>
      <c r="H71" s="13">
        <f>'Cash Flow Analysis'!F19</f>
        <v>6070.4279999999999</v>
      </c>
    </row>
    <row r="72" spans="3:8">
      <c r="C72" s="31" t="s">
        <v>33</v>
      </c>
      <c r="D72" s="50">
        <f>H72</f>
        <v>13908.813111703341</v>
      </c>
      <c r="E72" s="50">
        <v>0</v>
      </c>
      <c r="F72" s="50">
        <v>0</v>
      </c>
      <c r="G72" s="50">
        <v>0</v>
      </c>
      <c r="H72" s="32">
        <f>'Cash Flow Analysis'!F20</f>
        <v>13908.813111703341</v>
      </c>
    </row>
    <row r="73" spans="3:8">
      <c r="C73" s="12" t="s">
        <v>32</v>
      </c>
      <c r="D73" s="49">
        <v>0</v>
      </c>
      <c r="E73" s="49">
        <v>0</v>
      </c>
      <c r="F73" s="49">
        <v>0</v>
      </c>
      <c r="G73" s="49">
        <f>H73</f>
        <v>194723.38356384673</v>
      </c>
      <c r="H73" s="13">
        <f>'Cash Flow Analysis'!F21</f>
        <v>194723.38356384673</v>
      </c>
    </row>
    <row r="74" spans="3:8">
      <c r="C74" s="37" t="s">
        <v>26</v>
      </c>
      <c r="D74" s="51">
        <f>SUM(D70:D73)</f>
        <v>19697.542796652968</v>
      </c>
      <c r="E74" s="51">
        <f t="shared" ref="E74:G74" si="20">SUM(E70:E73)</f>
        <v>5885.5524991939619</v>
      </c>
      <c r="F74" s="51">
        <f t="shared" si="20"/>
        <v>5984.5702064558218</v>
      </c>
      <c r="G74" s="51">
        <f t="shared" si="20"/>
        <v>200809.21612698899</v>
      </c>
      <c r="H74" s="34">
        <f>'Cash Flow Analysis'!F22</f>
        <v>232376.88162929175</v>
      </c>
    </row>
    <row r="75" spans="3:8">
      <c r="C75" s="30"/>
      <c r="D75" s="47"/>
      <c r="E75" s="47"/>
      <c r="F75" s="47"/>
      <c r="G75" s="47"/>
      <c r="H75" s="47"/>
    </row>
    <row r="76" spans="3:8">
      <c r="C76" s="42" t="s">
        <v>27</v>
      </c>
      <c r="D76" s="52">
        <f>D67-D74</f>
        <v>51867.091208377926</v>
      </c>
      <c r="E76" s="52">
        <f t="shared" ref="E76:G76" si="21">E67-E74</f>
        <v>65775.904320081274</v>
      </c>
      <c r="F76" s="52">
        <f t="shared" si="21"/>
        <v>65775.904320081274</v>
      </c>
      <c r="G76" s="52">
        <f t="shared" si="21"/>
        <v>-128947.47924376545</v>
      </c>
      <c r="H76" s="40">
        <f>'Cash Flow Analysis'!F24</f>
        <v>54471.420604775019</v>
      </c>
    </row>
    <row r="77" spans="3:8">
      <c r="C77" s="42" t="s">
        <v>6</v>
      </c>
      <c r="D77" s="52">
        <f>I50+D76</f>
        <v>185377.23723476473</v>
      </c>
      <c r="E77" s="52">
        <f>D77+E76</f>
        <v>251153.14155484602</v>
      </c>
      <c r="F77" s="52">
        <f t="shared" ref="F77:G77" si="22">E77+F76</f>
        <v>316929.04587492731</v>
      </c>
      <c r="G77" s="52">
        <f t="shared" si="22"/>
        <v>187981.56663116184</v>
      </c>
      <c r="H77" s="40">
        <f>'Cash Flow Analysis'!F25</f>
        <v>187981.56663116184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96092.469477192877</v>
      </c>
      <c r="E84" s="48">
        <f>'Expanded Profit and Loss'!D114+'Expanded Profit and Loss'!D113</f>
        <v>96198.374939265253</v>
      </c>
      <c r="F84" s="48">
        <f>'Expanded Profit and Loss'!E114+'Expanded Profit and Loss'!E113</f>
        <v>96306.681190459843</v>
      </c>
      <c r="G84" s="48">
        <f>'Expanded Profit and Loss'!F114+'Expanded Profit and Loss'!F113</f>
        <v>96417.4426546779</v>
      </c>
      <c r="H84" s="27">
        <f>'Cash Flow Analysis'!G6</f>
        <v>385014.96826159587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2211.3702000000003</v>
      </c>
      <c r="E89" s="49">
        <f>$H$89/4</f>
        <v>2211.3702000000003</v>
      </c>
      <c r="F89" s="49">
        <f>$H$89/4</f>
        <v>2211.3702000000003</v>
      </c>
      <c r="G89" s="49">
        <f>$H$89/4</f>
        <v>2211.3702000000003</v>
      </c>
      <c r="H89" s="13">
        <f>'Cash Flow Analysis'!G12</f>
        <v>8845.4808000000012</v>
      </c>
    </row>
    <row r="90" spans="3:8">
      <c r="C90" s="37" t="s">
        <v>23</v>
      </c>
      <c r="D90" s="51">
        <f>SUM(D87:D89)</f>
        <v>2211.3702000000003</v>
      </c>
      <c r="E90" s="51">
        <f t="shared" ref="E90:G90" si="23">SUM(E87:E89)</f>
        <v>2211.3702000000003</v>
      </c>
      <c r="F90" s="51">
        <f t="shared" si="23"/>
        <v>2211.3702000000003</v>
      </c>
      <c r="G90" s="51">
        <f t="shared" si="23"/>
        <v>2211.3702000000003</v>
      </c>
      <c r="H90" s="34">
        <f>'Cash Flow Analysis'!G12</f>
        <v>8845.4808000000012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98303.839677192882</v>
      </c>
      <c r="E93" s="48">
        <f t="shared" ref="E93:G93" si="24">E90+E84</f>
        <v>98409.745139265258</v>
      </c>
      <c r="F93" s="48">
        <f t="shared" si="24"/>
        <v>98518.051390459848</v>
      </c>
      <c r="G93" s="48">
        <f t="shared" si="24"/>
        <v>98628.812854677904</v>
      </c>
      <c r="H93" s="27">
        <f>'Cash Flow Analysis'!G15</f>
        <v>393860.44906159589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4671.7834535969105</v>
      </c>
      <c r="E96" s="50">
        <f>SUM('Loan Amortization Table'!C41:C43)</f>
        <v>4777.6889156692787</v>
      </c>
      <c r="F96" s="50">
        <f>SUM('Loan Amortization Table'!C44:C46)</f>
        <v>4885.9951668638687</v>
      </c>
      <c r="G96" s="50">
        <f>SUM('Loan Amortization Table'!C47:C49)</f>
        <v>4996.7566310819248</v>
      </c>
      <c r="H96" s="32">
        <f>'Cash Flow Analysis'!G18</f>
        <v>19332.224167211985</v>
      </c>
    </row>
    <row r="97" spans="3:8">
      <c r="C97" s="12" t="s">
        <v>25</v>
      </c>
      <c r="D97" s="49">
        <f>$H$97/4</f>
        <v>1547.9591400000002</v>
      </c>
      <c r="E97" s="49">
        <f t="shared" ref="E97:G97" si="25">$H$97/4</f>
        <v>1547.9591400000002</v>
      </c>
      <c r="F97" s="49">
        <f t="shared" si="25"/>
        <v>1547.9591400000002</v>
      </c>
      <c r="G97" s="49">
        <f t="shared" si="25"/>
        <v>1547.9591400000002</v>
      </c>
      <c r="H97" s="13">
        <f>'Cash Flow Analysis'!G19</f>
        <v>6191.8365600000006</v>
      </c>
    </row>
    <row r="98" spans="3:8">
      <c r="C98" s="31" t="s">
        <v>33</v>
      </c>
      <c r="D98" s="50">
        <f>H98</f>
        <v>19250.748413079793</v>
      </c>
      <c r="E98" s="50">
        <v>0</v>
      </c>
      <c r="F98" s="50">
        <v>0</v>
      </c>
      <c r="G98" s="50">
        <v>0</v>
      </c>
      <c r="H98" s="32">
        <f>'Cash Flow Analysis'!G20</f>
        <v>19250.748413079793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269510.47778311709</v>
      </c>
      <c r="H99" s="13">
        <f>'Cash Flow Analysis'!G21</f>
        <v>269510.47778311709</v>
      </c>
    </row>
    <row r="100" spans="3:8">
      <c r="C100" s="37" t="s">
        <v>26</v>
      </c>
      <c r="D100" s="51">
        <f>SUM(D96:D99)</f>
        <v>25470.491006676704</v>
      </c>
      <c r="E100" s="51">
        <f t="shared" ref="E100:G100" si="26">SUM(E96:E99)</f>
        <v>6325.6480556692786</v>
      </c>
      <c r="F100" s="51">
        <f t="shared" si="26"/>
        <v>6433.9543068638686</v>
      </c>
      <c r="G100" s="51">
        <f t="shared" si="26"/>
        <v>276055.19355419901</v>
      </c>
      <c r="H100" s="34">
        <f>'Cash Flow Analysis'!G22</f>
        <v>314285.28692340886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72833.348670516178</v>
      </c>
      <c r="E102" s="52">
        <f t="shared" ref="E102:G102" si="27">E93-E100</f>
        <v>92084.097083595974</v>
      </c>
      <c r="F102" s="52">
        <f t="shared" si="27"/>
        <v>92084.097083595974</v>
      </c>
      <c r="G102" s="52">
        <f t="shared" si="27"/>
        <v>-177426.38069952111</v>
      </c>
      <c r="H102" s="40">
        <f>'Cash Flow Analysis'!G24</f>
        <v>79575.162138187035</v>
      </c>
    </row>
    <row r="103" spans="3:8">
      <c r="C103" s="42" t="s">
        <v>6</v>
      </c>
      <c r="D103" s="52">
        <f>G77+D102</f>
        <v>260814.915301678</v>
      </c>
      <c r="E103" s="52">
        <f>D103+E102</f>
        <v>352899.01238527399</v>
      </c>
      <c r="F103" s="52">
        <f t="shared" ref="F103:G103" si="28">E103+F102</f>
        <v>444983.10946886998</v>
      </c>
      <c r="G103" s="52">
        <f t="shared" si="28"/>
        <v>267556.72876934888</v>
      </c>
      <c r="H103" s="40">
        <f>'Cash Flow Analysis'!G25</f>
        <v>267556.72876934888</v>
      </c>
    </row>
    <row r="106" spans="3:8">
      <c r="C106" s="112"/>
      <c r="D106" s="112"/>
      <c r="E106" s="112"/>
      <c r="F106" s="112"/>
      <c r="G106" s="112"/>
      <c r="H106" s="112"/>
    </row>
    <row r="107" spans="3:8">
      <c r="D107" s="120"/>
      <c r="E107" s="120"/>
      <c r="F107" s="120"/>
      <c r="G107" s="120"/>
      <c r="H107" s="120"/>
    </row>
    <row r="108" spans="3:8">
      <c r="C108" s="124"/>
      <c r="D108" s="123"/>
      <c r="E108" s="123"/>
      <c r="F108" s="123"/>
      <c r="G108" s="123"/>
      <c r="H108" s="123"/>
    </row>
    <row r="110" spans="3:8">
      <c r="C110" s="124"/>
      <c r="D110" s="124"/>
      <c r="E110" s="124"/>
      <c r="F110" s="124"/>
      <c r="G110" s="124"/>
      <c r="H110" s="124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4"/>
      <c r="D114" s="123"/>
      <c r="E114" s="123"/>
      <c r="F114" s="123"/>
      <c r="G114" s="123"/>
      <c r="H114" s="123"/>
    </row>
    <row r="117" spans="3:10">
      <c r="C117" s="124"/>
      <c r="D117" s="123"/>
      <c r="E117" s="123"/>
      <c r="F117" s="123"/>
      <c r="G117" s="123"/>
      <c r="H117" s="123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4"/>
      <c r="D124" s="123"/>
      <c r="E124" s="123"/>
      <c r="F124" s="123"/>
      <c r="G124" s="123"/>
      <c r="H124" s="123"/>
    </row>
    <row r="126" spans="3:10">
      <c r="C126" s="124"/>
      <c r="D126" s="123"/>
      <c r="E126" s="123"/>
      <c r="F126" s="123"/>
      <c r="G126" s="123"/>
      <c r="H126" s="123"/>
    </row>
    <row r="127" spans="3:10">
      <c r="C127" s="124"/>
      <c r="D127" s="123"/>
      <c r="E127" s="123"/>
      <c r="F127" s="123"/>
      <c r="G127" s="123"/>
      <c r="H127" s="123"/>
    </row>
    <row r="128" spans="3:10">
      <c r="J128" s="1"/>
    </row>
    <row r="130" spans="3:8">
      <c r="C130" s="112"/>
      <c r="D130" s="112"/>
      <c r="E130" s="112"/>
      <c r="F130" s="112"/>
      <c r="G130" s="112"/>
      <c r="H130" s="112"/>
    </row>
    <row r="131" spans="3:8">
      <c r="D131" s="120"/>
      <c r="E131" s="120"/>
      <c r="F131" s="120"/>
      <c r="G131" s="120"/>
      <c r="H131" s="120"/>
    </row>
    <row r="132" spans="3:8">
      <c r="C132" s="124"/>
      <c r="D132" s="123"/>
      <c r="E132" s="123"/>
      <c r="F132" s="123"/>
      <c r="G132" s="123"/>
      <c r="H132" s="123"/>
    </row>
    <row r="134" spans="3:8">
      <c r="C134" s="124"/>
      <c r="D134" s="124"/>
      <c r="E134" s="124"/>
      <c r="F134" s="124"/>
      <c r="G134" s="124"/>
      <c r="H134" s="124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4"/>
      <c r="D138" s="123"/>
      <c r="E138" s="123"/>
      <c r="F138" s="123"/>
      <c r="G138" s="123"/>
      <c r="H138" s="123"/>
    </row>
    <row r="141" spans="3:8">
      <c r="C141" s="124"/>
      <c r="D141" s="123"/>
      <c r="E141" s="123"/>
      <c r="F141" s="123"/>
      <c r="G141" s="123"/>
      <c r="H141" s="123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4"/>
      <c r="D148" s="123"/>
      <c r="E148" s="123"/>
      <c r="F148" s="123"/>
      <c r="G148" s="123"/>
      <c r="H148" s="123"/>
    </row>
    <row r="150" spans="3:8">
      <c r="C150" s="124"/>
      <c r="D150" s="123"/>
      <c r="E150" s="123"/>
      <c r="F150" s="123"/>
      <c r="G150" s="123"/>
      <c r="H150" s="123"/>
    </row>
    <row r="151" spans="3:8">
      <c r="C151" s="124"/>
      <c r="D151" s="123"/>
      <c r="E151" s="123"/>
      <c r="F151" s="123"/>
      <c r="G151" s="123"/>
      <c r="H151" s="12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Revenue Overview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2025-10-07T14:16:29Z</dcterms:modified>
</cp:coreProperties>
</file>