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Dog Groomer\"/>
    </mc:Choice>
  </mc:AlternateContent>
  <xr:revisionPtr revIDLastSave="0" documentId="13_ncr:1_{8F0A0E53-B1E1-430B-9BD6-C95921F167D9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C33" i="23"/>
  <c r="H8" i="14"/>
  <c r="G8" i="14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G19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H36" i="12" l="1"/>
  <c r="H37" i="12" s="1"/>
  <c r="E36" i="12"/>
  <c r="E37" i="12" s="1"/>
  <c r="F19" i="3"/>
  <c r="D33" i="23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H16" i="7"/>
  <c r="C21" i="23" s="1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D21" i="23" l="1"/>
  <c r="F17" i="2" s="1"/>
  <c r="G73" i="11" s="1"/>
  <c r="G51" i="23"/>
  <c r="E66" i="23"/>
  <c r="F42" i="23"/>
  <c r="F6" i="11" s="1"/>
  <c r="D6" i="11"/>
  <c r="D66" i="23"/>
  <c r="F61" i="23"/>
  <c r="F7" i="11" s="1"/>
  <c r="H32" i="23"/>
  <c r="H33" i="23" s="1"/>
  <c r="E17" i="2"/>
  <c r="D75" i="11"/>
  <c r="F75" i="11"/>
  <c r="E75" i="11"/>
  <c r="J16" i="7"/>
  <c r="E21" i="23" s="1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G17" i="2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<sst xmlns="http://schemas.openxmlformats.org/spreadsheetml/2006/main" count="320" uniqueCount="139">
  <si>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</si>
  <si>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</si>
  <si>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</si>
  <si>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</si>
  <si>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</si>
  <si>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</si>
  <si>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</si>
  <si>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</si>
  <si>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</si>
  <si>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</si>
  <si>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</si>
  <si>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</si>
  <si>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</si>
  <si>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</si>
  <si>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</si>
  <si>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</si>
  <si>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</si>
  <si>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</si>
  <si>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</si>
  <si>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</si>
  <si>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</si>
  <si>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</si>
  <si>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</si>
  <si>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</si>
  <si>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</si>
  <si>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</si>
  <si>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</si>
  <si>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</si>
  <si>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</si>
  <si>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</si>
  <si>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</si>
  <si>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</si>
  <si>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</si>
  <si>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</si>
  <si>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</si>
  <si>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</si>
  <si>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</si>
  <si>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</si>
  <si>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</si>
  <si>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</si>
  <si>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</si>
  <si>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</si>
  <si>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</si>
  <si>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</si>
  <si>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</si>
  <si>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</si>
  <si>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</si>
  <si>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</si>
  <si>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</si>
  <si>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</si>
  <si>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</si>
  <si>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</si>
  <si>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</si>
  <si>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</si>
  <si>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</si>
  <si>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</si>
  <si>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</si>
  <si>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</si>
  <si>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</si>
  <si>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</si>
  <si>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</si>
  <si>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</si>
  <si>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</si>
  <si>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</si>
  <si>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</si>
  <si>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</si>
  <si>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</si>
  <si>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</si>
  <si>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</si>
  <si>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</si>
  <si>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</si>
  <si>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</si>
  <si>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</si>
  <si>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</si>
  <si>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</si>
  <si>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</si>
  <si>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</si>
  <si>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</si>
  <si>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</si>
  <si>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</si>
  <si>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</si>
  <si>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</si>
  <si>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</si>
  <si>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</si>
  <si>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</si>
  <si>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</si>
  <si>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</si>
  <si>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</si>
  <si>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</si>
  <si>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</si>
  <si>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</si>
  <si>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</si>
  <si>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</si>
  <si>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</si>
  <si>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</si>
  <si>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</si>
  <si>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</si>
  <si>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</si>
  <si>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</si>
  <si>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</si>
  <si>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</si>
  <si>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</si>
  <si>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</si>
  <si>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</si>
  <si>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</si>
  <si>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</si>
  <si>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</si>
  <si>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</si>
  <si>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</si>
  <si>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</si>
  <si>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</si>
  <si>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</si>
  <si>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</si>
  <si>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</si>
  <si>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</si>
  <si>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</si>
  <si>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</si>
  <si>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</si>
  <si>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</si>
  <si>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</si>
  <si>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</si>
  <si>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</si>
  <si>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</si>
  <si>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</si>
  <si>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</si>
  <si>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</si>
  <si>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</si>
  <si>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</si>
  <si>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</si>
  <si>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Grooming Services</t>
  </si>
  <si>
    <t>Grooming Staff</t>
  </si>
  <si>
    <t>Day Care and Kennel Services</t>
  </si>
  <si>
    <t>Care Staff</t>
  </si>
  <si>
    <t>Land and Real Estate</t>
  </si>
  <si>
    <t>Equipment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</si>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</sst>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171751.58190865186</c:v>
                </c:pt>
                <c:pt idx="1">
                  <c:v>275329.33114015055</c:v>
                </c:pt>
                <c:pt idx="2">
                  <c:v>366835.74653220747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28039.837902273692</c:v>
                </c:pt>
                <c:pt idx="1">
                  <c:v>30216.643390128986</c:v>
                </c:pt>
                <c:pt idx="2">
                  <c:v>32562.439945210564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120226.10733605629</c:v>
                </c:pt>
                <c:pt idx="1">
                  <c:v>192730.53179810537</c:v>
                </c:pt>
                <c:pt idx="2">
                  <c:v>256785.02257254522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171751.58190865186</c:v>
                </c:pt>
                <c:pt idx="1">
                  <c:v>275329.33114015055</c:v>
                </c:pt>
                <c:pt idx="2">
                  <c:v>366835.74653220747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8DA-4703-9861-023031326F62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C8DA-4703-9861-023031326F6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120226.10733605629</c:v>
                </c:pt>
                <c:pt idx="1">
                  <c:v>192730.53179810537</c:v>
                </c:pt>
                <c:pt idx="2">
                  <c:v>256785.02257254522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1495039.6366703219</c:v>
                </c:pt>
                <c:pt idx="1">
                  <c:v>1519006.872622238</c:v>
                </c:pt>
                <c:pt idx="2">
                  <c:v>1568111.9382366899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5-459E-9248-75A97F77D9E2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1223514.1620977265</c:v>
                </c:pt>
                <c:pt idx="1">
                  <c:v>1194882.5987075979</c:v>
                </c:pt>
                <c:pt idx="2">
                  <c:v>1163936.9403623873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5-459E-9248-75A97F77D9E2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271525.47457259544</c:v>
                </c:pt>
                <c:pt idx="1">
                  <c:v>324124.27391464007</c:v>
                </c:pt>
                <c:pt idx="2">
                  <c:v>404174.99787430256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5-459E-9248-75A97F77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Day Care and Kennel Services</c:v>
                </c:pt>
                <c:pt idx="1">
                  <c:v>Grooming 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0.5714285714285714</c:v>
                </c:pt>
                <c:pt idx="1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552387.47263157892</c:v>
                </c:pt>
                <c:pt idx="1">
                  <c:v>577884.83294736838</c:v>
                </c:pt>
                <c:pt idx="2">
                  <c:v>603816.26031052647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552387.47263157892</c:v>
                </c:pt>
                <c:pt idx="1">
                  <c:v>577884.83294736838</c:v>
                </c:pt>
                <c:pt idx="2">
                  <c:v>603816.26031052647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894810</c:v>
                </c:pt>
                <c:pt idx="1">
                  <c:v>1073772</c:v>
                </c:pt>
                <c:pt idx="2">
                  <c:v>1234837.7999999998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524768.09899999993</c:v>
                </c:pt>
                <c:pt idx="1">
                  <c:v>548990.59129999997</c:v>
                </c:pt>
                <c:pt idx="2">
                  <c:v>573625.44729500008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325301.40100000007</c:v>
                </c:pt>
                <c:pt idx="1">
                  <c:v>471092.80870000005</c:v>
                </c:pt>
                <c:pt idx="2">
                  <c:v>599470.46270499984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894810</c:v>
                </c:pt>
                <c:pt idx="1">
                  <c:v>1073772</c:v>
                </c:pt>
                <c:pt idx="2">
                  <c:v>1234837.7999999998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317952974324811"/>
                  <c:y val="8.600959362838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0.10209092795439405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325301.40100000007</c:v>
                </c:pt>
                <c:pt idx="1">
                  <c:v>471092.80870000005</c:v>
                </c:pt>
                <c:pt idx="2">
                  <c:v>599470.46270499984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524768.09899999993</c:v>
                </c:pt>
                <c:pt idx="1">
                  <c:v>548990.59129999997</c:v>
                </c:pt>
                <c:pt idx="2">
                  <c:v>573625.44729500008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Day Care and Kennel Services</c:v>
                </c:pt>
                <c:pt idx="1">
                  <c:v>Grooming 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0.5714285714285714</c:v>
                </c:pt>
                <c:pt idx="1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1495039.6366703219</c:v>
                </c:pt>
                <c:pt idx="1">
                  <c:v>1519006.872622238</c:v>
                </c:pt>
                <c:pt idx="2">
                  <c:v>1568111.9382366899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C-4382-BF5A-4A36847940D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1223514.1620977265</c:v>
                </c:pt>
                <c:pt idx="1">
                  <c:v>1194882.5987075979</c:v>
                </c:pt>
                <c:pt idx="2">
                  <c:v>1163936.9403623873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C-4382-BF5A-4A36847940D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271525.47457259544</c:v>
                </c:pt>
                <c:pt idx="1">
                  <c:v>324124.27391464007</c:v>
                </c:pt>
                <c:pt idx="2">
                  <c:v>404174.99787430256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C-4382-BF5A-4A368479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Grooming Staff</c:v>
                </c:pt>
                <c:pt idx="3">
                  <c:v>Care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0.12903225806451613</c:v>
                </c:pt>
                <c:pt idx="1">
                  <c:v>0.11612903225806452</c:v>
                </c:pt>
                <c:pt idx="2">
                  <c:v>0.2709677419354839</c:v>
                </c:pt>
                <c:pt idx="3">
                  <c:v>0.38709677419354838</c:v>
                </c:pt>
                <c:pt idx="4">
                  <c:v>9.6774193548387094E-2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Land and Real Estate</c:v>
                </c:pt>
                <c:pt idx="1">
                  <c:v>Equipment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1225000</c:v>
                </c:pt>
                <c:pt idx="1">
                  <c:v>150000</c:v>
                </c:pt>
                <c:pt idx="2">
                  <c:v>25000</c:v>
                </c:pt>
                <c:pt idx="3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894810</c:v>
                </c:pt>
                <c:pt idx="1">
                  <c:v>1073772</c:v>
                </c:pt>
                <c:pt idx="2">
                  <c:v>1234837.7999999998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524768.09899999993</c:v>
                </c:pt>
                <c:pt idx="1">
                  <c:v>548990.59129999997</c:v>
                </c:pt>
                <c:pt idx="2">
                  <c:v>573625.44729500008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325301.40100000007</c:v>
                </c:pt>
                <c:pt idx="1">
                  <c:v>471092.80870000005</c:v>
                </c:pt>
                <c:pt idx="2">
                  <c:v>599470.46270499984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894810</c:v>
                </c:pt>
                <c:pt idx="1">
                  <c:v>1073772</c:v>
                </c:pt>
                <c:pt idx="2">
                  <c:v>1234837.7999999998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325301.40100000007</c:v>
                </c:pt>
                <c:pt idx="1">
                  <c:v>471092.80870000005</c:v>
                </c:pt>
                <c:pt idx="2">
                  <c:v>599470.46270499984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524768.09899999993</c:v>
                </c:pt>
                <c:pt idx="1">
                  <c:v>548990.59129999997</c:v>
                </c:pt>
                <c:pt idx="2">
                  <c:v>573625.44729500008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171751.58190865186</c:v>
                </c:pt>
                <c:pt idx="1">
                  <c:v>275329.33114015055</c:v>
                </c:pt>
                <c:pt idx="2">
                  <c:v>366835.74653220747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28039.837902273692</c:v>
                </c:pt>
                <c:pt idx="1">
                  <c:v>30216.643390128986</c:v>
                </c:pt>
                <c:pt idx="2">
                  <c:v>32562.439945210564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120226.10733605629</c:v>
                </c:pt>
                <c:pt idx="1">
                  <c:v>192730.53179810537</c:v>
                </c:pt>
                <c:pt idx="2">
                  <c:v>256785.02257254522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171751.58190865186</c:v>
                </c:pt>
                <c:pt idx="1">
                  <c:v>275329.33114015055</c:v>
                </c:pt>
                <c:pt idx="2">
                  <c:v>366835.74653220747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C74-4A69-BF17-30B834B784CB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C74-4A69-BF17-30B834B784C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120226.10733605629</c:v>
                </c:pt>
                <c:pt idx="1">
                  <c:v>192730.53179810537</c:v>
                </c:pt>
                <c:pt idx="2">
                  <c:v>256785.02257254522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1495039.6366703219</c:v>
                </c:pt>
                <c:pt idx="1">
                  <c:v>1223514.1620977265</c:v>
                </c:pt>
                <c:pt idx="2">
                  <c:v>271525.47457259544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1519006.872622238</c:v>
                </c:pt>
                <c:pt idx="1">
                  <c:v>1194882.5987075979</c:v>
                </c:pt>
                <c:pt idx="2">
                  <c:v>324124.27391464007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1568111.9382366899</c:v>
                </c:pt>
                <c:pt idx="1">
                  <c:v>1163936.9403623873</c:v>
                </c:pt>
                <c:pt idx="2">
                  <c:v>404174.99787430256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552450</xdr:colOff>
      <xdr:row>2</xdr:row>
      <xdr:rowOff>76200</xdr:rowOff>
    </xdr:from>
    <xdr:to>
      <xdr:col>21</xdr:col>
      <xdr:colOff>104773</xdr:colOff>
      <xdr:row>12</xdr:row>
      <xdr:rowOff>171448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FECFE5-A343-4799-936C-CA7D6D878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114300</xdr:colOff>
      <xdr:row>29</xdr:row>
      <xdr:rowOff>95250</xdr:rowOff>
    </xdr:from>
    <xdr:to>
      <xdr:col>21</xdr:col>
      <xdr:colOff>257175</xdr:colOff>
      <xdr:row>38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8D02D7-9BD9-4617-8BEF-FA2F34BB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5619750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285750</xdr:colOff>
      <xdr:row>2</xdr:row>
      <xdr:rowOff>114300</xdr:rowOff>
    </xdr:from>
    <xdr:to>
      <xdr:col>21</xdr:col>
      <xdr:colOff>428625</xdr:colOff>
      <xdr:row>12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B5EA5-53E7-4151-AC54-A8AF1D773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495300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542925</xdr:colOff>
      <xdr:row>1</xdr:row>
      <xdr:rowOff>161925</xdr:rowOff>
    </xdr:from>
    <xdr:to>
      <xdr:col>25</xdr:col>
      <xdr:colOff>76200</xdr:colOff>
      <xdr:row>11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771197-8965-4632-A4FA-E646720A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5" y="352425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57150</xdr:colOff>
      <xdr:row>2</xdr:row>
      <xdr:rowOff>104775</xdr:rowOff>
    </xdr:from>
    <xdr:to>
      <xdr:col>24</xdr:col>
      <xdr:colOff>200025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54147-B088-47B5-8EFB-4D71CE18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5" y="485775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590550</xdr:colOff>
      <xdr:row>3</xdr:row>
      <xdr:rowOff>9525</xdr:rowOff>
    </xdr:from>
    <xdr:to>
      <xdr:col>24</xdr:col>
      <xdr:colOff>123825</xdr:colOff>
      <xdr:row>12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D32F6F-2B87-43B7-B96D-518D9F09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581025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533400</xdr:colOff>
      <xdr:row>28</xdr:row>
      <xdr:rowOff>47625</xdr:rowOff>
    </xdr:from>
    <xdr:to>
      <xdr:col>16</xdr:col>
      <xdr:colOff>333375</xdr:colOff>
      <xdr:row>37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504136-32D9-4061-B775-696E346A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5381625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22</xdr:col>
      <xdr:colOff>133350</xdr:colOff>
      <xdr:row>2</xdr:row>
      <xdr:rowOff>47625</xdr:rowOff>
    </xdr:from>
    <xdr:to>
      <xdr:col>26</xdr:col>
      <xdr:colOff>276225</xdr:colOff>
      <xdr:row>11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EA498F-6269-46D0-9B73-989AA78F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5" y="428625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285750</xdr:colOff>
      <xdr:row>3</xdr:row>
      <xdr:rowOff>76200</xdr:rowOff>
    </xdr:from>
    <xdr:to>
      <xdr:col>23</xdr:col>
      <xdr:colOff>428625</xdr:colOff>
      <xdr:row>12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725B74-C428-4A72-993C-DD3DC4C5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8525" y="647700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485775</xdr:colOff>
      <xdr:row>1</xdr:row>
      <xdr:rowOff>85725</xdr:rowOff>
    </xdr:from>
    <xdr:to>
      <xdr:col>24</xdr:col>
      <xdr:colOff>19050</xdr:colOff>
      <xdr:row>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20A16-D155-4EA3-9B19-C29AFFE00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276225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4</xdr:row>
      <xdr:rowOff>119062</xdr:rowOff>
    </xdr:from>
    <xdr:to>
      <xdr:col>14</xdr:col>
      <xdr:colOff>161925</xdr:colOff>
      <xdr:row>19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2B4BE7-2047-C93A-B0FE-1DEE09BD4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266700</xdr:colOff>
      <xdr:row>3</xdr:row>
      <xdr:rowOff>85725</xdr:rowOff>
    </xdr:from>
    <xdr:to>
      <xdr:col>22</xdr:col>
      <xdr:colOff>409575</xdr:colOff>
      <xdr:row>12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255FDC-066E-4755-87FA-183045836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0" y="657225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561975</xdr:colOff>
      <xdr:row>1</xdr:row>
      <xdr:rowOff>123825</xdr:rowOff>
    </xdr:from>
    <xdr:to>
      <xdr:col>22</xdr:col>
      <xdr:colOff>95250</xdr:colOff>
      <xdr:row>11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0F949A-C3A0-496B-AE44-F9E3DDEE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314325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95250</xdr:colOff>
      <xdr:row>3</xdr:row>
      <xdr:rowOff>28575</xdr:rowOff>
    </xdr:from>
    <xdr:to>
      <xdr:col>23</xdr:col>
      <xdr:colOff>238125</xdr:colOff>
      <xdr:row>12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8F9474-7417-4F0F-97EE-8D2DE8C04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1725" y="600075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361950</xdr:colOff>
      <xdr:row>21</xdr:row>
      <xdr:rowOff>76200</xdr:rowOff>
    </xdr:from>
    <xdr:to>
      <xdr:col>19</xdr:col>
      <xdr:colOff>504825</xdr:colOff>
      <xdr:row>30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4460F2-91D9-4395-A1D4-C1E7EA220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4850" y="4076700"/>
          <a:ext cx="25812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R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111</v>
      </c>
      <c r="C4" s="147" t="s">
        <v>57</v>
      </c>
      <c r="D4" s="147" t="s">
        <v>10</v>
      </c>
      <c r="E4" s="147" t="s">
        <v>8</v>
      </c>
    </row>
    <row r="5" spans="2:5">
      <c r="B5" s="66" t="s">
        <v>131</v>
      </c>
      <c r="C5" s="148">
        <v>0.05</v>
      </c>
      <c r="D5" s="148">
        <v>0.95</v>
      </c>
      <c r="E5" s="148">
        <f>C5+D5</f>
        <v>1</v>
      </c>
    </row>
    <row r="6" spans="2:5">
      <c r="B6" s="66" t="s">
        <v>129</v>
      </c>
      <c r="C6" s="148">
        <v>0.05</v>
      </c>
      <c r="D6" s="148">
        <v>0.95</v>
      </c>
      <c r="E6" s="148">
        <f t="shared" ref="E6:E12" si="0">C6+D6</f>
        <v>1</v>
      </c>
    </row>
    <row r="7" spans="2:5">
      <c r="B7" s="66" t="s">
        <v>103</v>
      </c>
      <c r="C7" s="148">
        <v>0.05</v>
      </c>
      <c r="D7" s="148">
        <v>0.95</v>
      </c>
      <c r="E7" s="148">
        <f t="shared" si="0"/>
        <v>1</v>
      </c>
    </row>
    <row r="8" spans="2:5">
      <c r="B8" s="66" t="s">
        <v>104</v>
      </c>
      <c r="C8" s="148">
        <v>0.05</v>
      </c>
      <c r="D8" s="148">
        <v>0.95</v>
      </c>
      <c r="E8" s="148">
        <f t="shared" si="0"/>
        <v>1</v>
      </c>
    </row>
    <row r="9" spans="2:5">
      <c r="B9" s="66" t="s">
        <v>105</v>
      </c>
      <c r="C9" s="148">
        <v>0.05</v>
      </c>
      <c r="D9" s="148">
        <v>0.95</v>
      </c>
      <c r="E9" s="148">
        <f t="shared" si="0"/>
        <v>1</v>
      </c>
    </row>
    <row r="10" spans="2:5">
      <c r="B10" s="66" t="s">
        <v>106</v>
      </c>
      <c r="C10" s="148">
        <v>0.05</v>
      </c>
      <c r="D10" s="148">
        <v>0.95</v>
      </c>
      <c r="E10" s="148">
        <f t="shared" si="0"/>
        <v>1</v>
      </c>
    </row>
    <row r="11" spans="2:5">
      <c r="B11" s="66" t="s">
        <v>107</v>
      </c>
      <c r="C11" s="148">
        <v>0.05</v>
      </c>
      <c r="D11" s="148">
        <v>0.95</v>
      </c>
      <c r="E11" s="148">
        <f t="shared" si="0"/>
        <v>1</v>
      </c>
    </row>
    <row r="12" spans="2:5">
      <c r="B12" s="66" t="s">
        <v>108</v>
      </c>
      <c r="C12" s="148">
        <v>0.05</v>
      </c>
      <c r="D12" s="148">
        <v>0.95</v>
      </c>
      <c r="E12" s="148">
        <f t="shared" si="0"/>
        <v>1</v>
      </c>
    </row>
    <row r="13" spans="2:5">
      <c r="B13" s="66" t="s">
        <v>109</v>
      </c>
      <c r="C13" s="148">
        <v>0.05</v>
      </c>
      <c r="D13" s="148">
        <v>0.95</v>
      </c>
      <c r="E13" s="148">
        <f t="shared" ref="E13:E14" si="1">C13+D13</f>
        <v>1</v>
      </c>
    </row>
    <row r="14" spans="2:5">
      <c r="B14" s="66" t="s">
        <v>110</v>
      </c>
      <c r="C14" s="148">
        <v>0.05</v>
      </c>
      <c r="D14" s="148">
        <v>0.95</v>
      </c>
      <c r="E14" s="148">
        <f t="shared" si="1"/>
        <v>1</v>
      </c>
    </row>
    <row r="16" spans="2:5">
      <c r="B16" s="146"/>
      <c r="C16" s="146"/>
      <c r="D16" s="146"/>
      <c r="E16" s="146"/>
    </row>
    <row r="17" spans="2:14">
      <c r="B17" s="147" t="s">
        <v>112</v>
      </c>
      <c r="C17" s="147">
        <v>1</v>
      </c>
      <c r="D17" s="147">
        <v>2</v>
      </c>
      <c r="E17" s="147">
        <v>3</v>
      </c>
    </row>
    <row r="18" spans="2:14">
      <c r="B18" s="70" t="s">
        <v>117</v>
      </c>
      <c r="C18" s="94">
        <v>51507</v>
      </c>
      <c r="D18" s="94">
        <f>C18*1.03</f>
        <v>53052.21</v>
      </c>
      <c r="E18" s="94">
        <f>D18*1.03</f>
        <v>54643.776299999998</v>
      </c>
    </row>
    <row r="19" spans="2:14">
      <c r="B19" s="70" t="s">
        <v>50</v>
      </c>
      <c r="C19" s="94">
        <f>'Profit and Loss Statement'!E6*0.0157</f>
        <v>14048.516999999998</v>
      </c>
      <c r="D19" s="94">
        <f>'Profit and Loss Statement'!F6*0.0157</f>
        <v>16858.220399999998</v>
      </c>
      <c r="E19" s="94">
        <f>'Profit and Loss Statement'!G6*0.0157</f>
        <v>19386.953459999997</v>
      </c>
    </row>
    <row r="20" spans="2:14">
      <c r="B20" s="70" t="s">
        <v>120</v>
      </c>
      <c r="C20" s="94">
        <f>'Profit and Loss Statement'!E6*0.0152</f>
        <v>13601.111999999999</v>
      </c>
      <c r="D20" s="94">
        <f>'Profit and Loss Statement'!F6*0.0152</f>
        <v>16321.3344</v>
      </c>
      <c r="E20" s="94">
        <f>'Profit and Loss Statement'!G6*0.0152</f>
        <v>18769.534559999996</v>
      </c>
    </row>
    <row r="21" spans="2:14">
      <c r="B21" s="70" t="s">
        <v>49</v>
      </c>
      <c r="C21" s="94">
        <f>'Personnel - Editable'!H16*0.03</f>
        <v>11625</v>
      </c>
      <c r="D21" s="94">
        <f>'Personnel - Editable'!I16*0.03</f>
        <v>11973.75</v>
      </c>
      <c r="E21" s="94">
        <f>'Personnel - Editable'!J16*0.03</f>
        <v>12332.9625</v>
      </c>
      <c r="F21" s="120"/>
      <c r="G21" s="120"/>
    </row>
    <row r="22" spans="2:14">
      <c r="B22" s="70" t="s">
        <v>118</v>
      </c>
      <c r="C22" s="94">
        <f>'Profit and Loss Statement'!E6*0.012</f>
        <v>10737.72</v>
      </c>
      <c r="D22" s="94">
        <f>'Profit and Loss Statement'!F6*0.012</f>
        <v>12885.264000000001</v>
      </c>
      <c r="E22" s="94">
        <f>'Profit and Loss Statement'!G6*0.012</f>
        <v>14818.053599999997</v>
      </c>
      <c r="F22" s="1"/>
      <c r="G22" s="1"/>
    </row>
    <row r="23" spans="2:14">
      <c r="B23" s="70" t="s">
        <v>1</v>
      </c>
      <c r="C23" s="94">
        <v>6105</v>
      </c>
      <c r="D23" s="94">
        <f>C23*1.35</f>
        <v>8241.75</v>
      </c>
      <c r="E23" s="94">
        <f>D23*1.35</f>
        <v>11126.362500000001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9" t="s">
        <v>113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2:14">
      <c r="B31" s="151" t="s">
        <v>5</v>
      </c>
      <c r="C31" s="152">
        <v>1</v>
      </c>
      <c r="D31" s="152">
        <f>C31+1</f>
        <v>2</v>
      </c>
      <c r="E31" s="152">
        <f t="shared" ref="E31:N31" si="2">D31+1</f>
        <v>3</v>
      </c>
      <c r="F31" s="152">
        <f t="shared" si="2"/>
        <v>4</v>
      </c>
      <c r="G31" s="152">
        <f t="shared" si="2"/>
        <v>5</v>
      </c>
      <c r="H31" s="152">
        <f t="shared" si="2"/>
        <v>6</v>
      </c>
      <c r="I31" s="152">
        <f t="shared" si="2"/>
        <v>7</v>
      </c>
      <c r="J31" s="152">
        <f t="shared" si="2"/>
        <v>8</v>
      </c>
      <c r="K31" s="152">
        <f t="shared" si="2"/>
        <v>9</v>
      </c>
      <c r="L31" s="152">
        <f t="shared" si="2"/>
        <v>10</v>
      </c>
      <c r="M31" s="152">
        <f t="shared" si="2"/>
        <v>11</v>
      </c>
      <c r="N31" s="152">
        <f t="shared" si="2"/>
        <v>12</v>
      </c>
    </row>
    <row r="32" spans="2:14">
      <c r="B32" s="66" t="str">
        <f t="shared" ref="B32:B41" si="3">B5</f>
        <v>Day Care and Kennel Services</v>
      </c>
      <c r="C32" s="94">
        <v>42500</v>
      </c>
      <c r="D32" s="94">
        <f>C32+20</f>
        <v>42520</v>
      </c>
      <c r="E32" s="94">
        <f t="shared" ref="E32:N32" si="4">D32+20</f>
        <v>42540</v>
      </c>
      <c r="F32" s="94">
        <f t="shared" si="4"/>
        <v>42560</v>
      </c>
      <c r="G32" s="94">
        <f t="shared" si="4"/>
        <v>42580</v>
      </c>
      <c r="H32" s="94">
        <f t="shared" si="4"/>
        <v>42600</v>
      </c>
      <c r="I32" s="94">
        <f t="shared" si="4"/>
        <v>42620</v>
      </c>
      <c r="J32" s="94">
        <f t="shared" si="4"/>
        <v>42640</v>
      </c>
      <c r="K32" s="94">
        <f t="shared" si="4"/>
        <v>42660</v>
      </c>
      <c r="L32" s="94">
        <f t="shared" si="4"/>
        <v>42680</v>
      </c>
      <c r="M32" s="94">
        <f t="shared" si="4"/>
        <v>42700</v>
      </c>
      <c r="N32" s="94">
        <f t="shared" si="4"/>
        <v>42720</v>
      </c>
    </row>
    <row r="33" spans="2:18">
      <c r="B33" s="66" t="str">
        <f t="shared" si="3"/>
        <v>Grooming Services</v>
      </c>
      <c r="C33" s="94">
        <f>C32*0.75</f>
        <v>31875</v>
      </c>
      <c r="D33" s="94">
        <f t="shared" ref="D33:N33" si="5">D32*0.75</f>
        <v>31890</v>
      </c>
      <c r="E33" s="94">
        <f t="shared" si="5"/>
        <v>31905</v>
      </c>
      <c r="F33" s="94">
        <f t="shared" si="5"/>
        <v>31920</v>
      </c>
      <c r="G33" s="94">
        <f t="shared" si="5"/>
        <v>31935</v>
      </c>
      <c r="H33" s="94">
        <f t="shared" si="5"/>
        <v>31950</v>
      </c>
      <c r="I33" s="94">
        <f t="shared" si="5"/>
        <v>31965</v>
      </c>
      <c r="J33" s="94">
        <f t="shared" si="5"/>
        <v>31980</v>
      </c>
      <c r="K33" s="94">
        <f t="shared" si="5"/>
        <v>31995</v>
      </c>
      <c r="L33" s="94">
        <f t="shared" si="5"/>
        <v>32010</v>
      </c>
      <c r="M33" s="94">
        <f t="shared" si="5"/>
        <v>32025</v>
      </c>
      <c r="N33" s="94">
        <f t="shared" si="5"/>
        <v>32040</v>
      </c>
    </row>
    <row r="34" spans="2:18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8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8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8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8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8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8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8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R41" s="145" t="s">
        <v>138</v>
      </c>
    </row>
    <row r="42" spans="2:18">
      <c r="B42" s="153" t="s">
        <v>8</v>
      </c>
      <c r="C42" s="154">
        <f>SUM(C32:C41)</f>
        <v>74375</v>
      </c>
      <c r="D42" s="154">
        <f t="shared" ref="D42:N42" si="6">SUM(D32:D41)</f>
        <v>74410</v>
      </c>
      <c r="E42" s="154">
        <f t="shared" si="6"/>
        <v>74445</v>
      </c>
      <c r="F42" s="154">
        <f t="shared" si="6"/>
        <v>74480</v>
      </c>
      <c r="G42" s="154">
        <f t="shared" si="6"/>
        <v>74515</v>
      </c>
      <c r="H42" s="154">
        <f t="shared" si="6"/>
        <v>74550</v>
      </c>
      <c r="I42" s="154">
        <f t="shared" si="6"/>
        <v>74585</v>
      </c>
      <c r="J42" s="154">
        <f t="shared" si="6"/>
        <v>74620</v>
      </c>
      <c r="K42" s="154">
        <f t="shared" si="6"/>
        <v>74655</v>
      </c>
      <c r="L42" s="154">
        <f t="shared" si="6"/>
        <v>74690</v>
      </c>
      <c r="M42" s="154">
        <f t="shared" si="6"/>
        <v>74725</v>
      </c>
      <c r="N42" s="154">
        <f t="shared" si="6"/>
        <v>74760</v>
      </c>
    </row>
    <row r="44" spans="2:18">
      <c r="B44" s="146"/>
      <c r="C44" s="146"/>
    </row>
    <row r="45" spans="2:18">
      <c r="B45" s="147" t="s">
        <v>127</v>
      </c>
      <c r="C45" s="147"/>
    </row>
    <row r="46" spans="2:18">
      <c r="B46" s="66" t="s">
        <v>3</v>
      </c>
      <c r="C46" s="144">
        <v>0.2</v>
      </c>
    </row>
    <row r="47" spans="2:18">
      <c r="B47" s="66" t="s">
        <v>4</v>
      </c>
      <c r="C47" s="144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Day Care and Kennel Services</v>
      </c>
      <c r="C51" s="114">
        <f t="shared" ref="C51:N51" si="9">C32*($C$5/$E$5)</f>
        <v>2125</v>
      </c>
      <c r="D51" s="114">
        <f t="shared" si="9"/>
        <v>2126</v>
      </c>
      <c r="E51" s="114">
        <f t="shared" si="9"/>
        <v>2127</v>
      </c>
      <c r="F51" s="114">
        <f t="shared" si="9"/>
        <v>2128</v>
      </c>
      <c r="G51" s="114">
        <f t="shared" si="9"/>
        <v>2129</v>
      </c>
      <c r="H51" s="114">
        <f t="shared" si="9"/>
        <v>2130</v>
      </c>
      <c r="I51" s="114">
        <f t="shared" si="9"/>
        <v>2131</v>
      </c>
      <c r="J51" s="114">
        <f t="shared" si="9"/>
        <v>2132</v>
      </c>
      <c r="K51" s="114">
        <f t="shared" si="9"/>
        <v>2133</v>
      </c>
      <c r="L51" s="114">
        <f t="shared" si="9"/>
        <v>2134</v>
      </c>
      <c r="M51" s="114">
        <f t="shared" si="9"/>
        <v>2135</v>
      </c>
      <c r="N51" s="114">
        <f t="shared" si="9"/>
        <v>2136</v>
      </c>
    </row>
    <row r="52" spans="2:14">
      <c r="B52" s="112" t="str">
        <f t="shared" si="8"/>
        <v>Grooming Services</v>
      </c>
      <c r="C52" s="114">
        <f t="shared" ref="C52:N52" si="10">C33*($C$6/$E$6)</f>
        <v>1593.75</v>
      </c>
      <c r="D52" s="114">
        <f t="shared" si="10"/>
        <v>1594.5</v>
      </c>
      <c r="E52" s="114">
        <f t="shared" si="10"/>
        <v>1595.25</v>
      </c>
      <c r="F52" s="114">
        <f t="shared" si="10"/>
        <v>1596</v>
      </c>
      <c r="G52" s="114">
        <f t="shared" si="10"/>
        <v>1596.75</v>
      </c>
      <c r="H52" s="114">
        <f t="shared" si="10"/>
        <v>1597.5</v>
      </c>
      <c r="I52" s="114">
        <f t="shared" si="10"/>
        <v>1598.25</v>
      </c>
      <c r="J52" s="114">
        <f t="shared" si="10"/>
        <v>1599</v>
      </c>
      <c r="K52" s="114">
        <f t="shared" si="10"/>
        <v>1599.75</v>
      </c>
      <c r="L52" s="114">
        <f t="shared" si="10"/>
        <v>1600.5</v>
      </c>
      <c r="M52" s="114">
        <f t="shared" si="10"/>
        <v>1601.25</v>
      </c>
      <c r="N52" s="114">
        <f t="shared" si="10"/>
        <v>1602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3718.75</v>
      </c>
      <c r="D61" s="114">
        <f t="shared" ref="D61:N61" si="19">SUM(D51:D60)</f>
        <v>3720.5</v>
      </c>
      <c r="E61" s="114">
        <f t="shared" si="19"/>
        <v>3722.25</v>
      </c>
      <c r="F61" s="114">
        <f t="shared" si="19"/>
        <v>3724</v>
      </c>
      <c r="G61" s="114">
        <f t="shared" si="19"/>
        <v>3725.75</v>
      </c>
      <c r="H61" s="114">
        <f t="shared" si="19"/>
        <v>3727.5</v>
      </c>
      <c r="I61" s="114">
        <f t="shared" si="19"/>
        <v>3729.25</v>
      </c>
      <c r="J61" s="114">
        <f t="shared" si="19"/>
        <v>3731</v>
      </c>
      <c r="K61" s="114">
        <f t="shared" si="19"/>
        <v>3732.75</v>
      </c>
      <c r="L61" s="114">
        <f t="shared" si="19"/>
        <v>3734.5</v>
      </c>
      <c r="M61" s="114">
        <f t="shared" si="19"/>
        <v>3736.25</v>
      </c>
      <c r="N61" s="114">
        <f t="shared" si="19"/>
        <v>3738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70656.25</v>
      </c>
      <c r="D66" s="114">
        <f t="shared" si="21"/>
        <v>70689.5</v>
      </c>
      <c r="E66" s="114">
        <f t="shared" si="21"/>
        <v>70722.75</v>
      </c>
      <c r="F66" s="114">
        <f t="shared" si="21"/>
        <v>70756</v>
      </c>
      <c r="G66" s="114">
        <f t="shared" si="21"/>
        <v>70789.25</v>
      </c>
      <c r="H66" s="114">
        <f t="shared" si="21"/>
        <v>70822.5</v>
      </c>
      <c r="I66" s="114">
        <f t="shared" si="21"/>
        <v>70855.75</v>
      </c>
      <c r="J66" s="114">
        <f t="shared" si="21"/>
        <v>70889</v>
      </c>
      <c r="K66" s="114">
        <f t="shared" si="21"/>
        <v>70922.25</v>
      </c>
      <c r="L66" s="114">
        <f t="shared" si="21"/>
        <v>70955.5</v>
      </c>
      <c r="M66" s="114">
        <f t="shared" si="21"/>
        <v>70988.75</v>
      </c>
      <c r="N66" s="114">
        <f t="shared" si="21"/>
        <v>71022</v>
      </c>
    </row>
  </sheetData>
  <sheetProtection algorithmName="SHA-512" hashValue="d8fRmnl0bt3kDOHyABlyhN/MHqLCHqwjIOInR8h0nU0J1BGTzkZd5lX/BToaEOyYZosdoJhplhYb0/g+/rDl6w==" saltValue="+9sjKjTD8zd8Y1nfFHIlOA==" spinCount="100000" sheet="1" objects="1" scenarios="1" selectLockedCells="1"/>
  <hyperlinks>
    <hyperlink ref="R41" r:id="rId1" xr:uid="{BB912EA6-234A-4632-934E-9D4C116C8C51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R12" sqref="R12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1250000</v>
      </c>
      <c r="C5" s="55"/>
      <c r="D5" s="56" t="s">
        <v>36</v>
      </c>
      <c r="E5" s="59">
        <f>PMT(B6/B8,(B7*B8),-B5)</f>
        <v>10069.91491939759</v>
      </c>
    </row>
    <row r="6" spans="1:5">
      <c r="A6" s="60" t="s">
        <v>39</v>
      </c>
      <c r="B6" s="54">
        <v>7.4999999999999997E-2</v>
      </c>
      <c r="C6" s="55"/>
      <c r="D6" s="56" t="s">
        <v>38</v>
      </c>
      <c r="E6" s="59">
        <f>SUM(D14:D600)</f>
        <v>1166779.5806554228</v>
      </c>
    </row>
    <row r="7" spans="1:5">
      <c r="A7" s="60" t="s">
        <v>40</v>
      </c>
      <c r="B7" s="60">
        <v>20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10069.91491939759</v>
      </c>
      <c r="C14" s="1">
        <f>B14-D14</f>
        <v>2257.4149193975909</v>
      </c>
      <c r="D14" s="1">
        <f>(B5*($B$6/$B$8))</f>
        <v>7812.4999999999991</v>
      </c>
      <c r="E14" s="1">
        <f>B5-C14</f>
        <v>1247742.5850806024</v>
      </c>
    </row>
    <row r="15" spans="1:5">
      <c r="A15">
        <f>IF(($B$7*$B$8&gt;A14),IF(($B$7*$B$8)=A14,"",A14+1),"")</f>
        <v>2</v>
      </c>
      <c r="B15" s="1">
        <f>IF(A15="","",$B$14)</f>
        <v>10069.91491939759</v>
      </c>
      <c r="C15" s="1">
        <f>IF(A15="","",B15-D15)</f>
        <v>2271.5237626438256</v>
      </c>
      <c r="D15" s="1">
        <f>IF(A15="","",(E14*($B$6/$B$8)))</f>
        <v>7798.3911567537643</v>
      </c>
      <c r="E15" s="1">
        <f>IF(A15="","",E14-C15)</f>
        <v>1245471.0613179586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10069.91491939759</v>
      </c>
      <c r="C16" s="1">
        <f t="shared" ref="C16:C79" si="2">IF(A16="","",B16-D16)</f>
        <v>2285.7207861603492</v>
      </c>
      <c r="D16" s="1">
        <f t="shared" ref="D16:D79" si="3">IF(A16="","",(E15*($B$6/$B$8)))</f>
        <v>7784.1941332372407</v>
      </c>
      <c r="E16" s="1">
        <f t="shared" ref="E16:E79" si="4">IF(A16="","",E15-C16)</f>
        <v>1243185.3405317983</v>
      </c>
    </row>
    <row r="17" spans="1:5">
      <c r="A17">
        <f t="shared" si="0"/>
        <v>4</v>
      </c>
      <c r="B17" s="1">
        <f t="shared" si="1"/>
        <v>10069.91491939759</v>
      </c>
      <c r="C17" s="1">
        <f t="shared" si="2"/>
        <v>2300.0065410738516</v>
      </c>
      <c r="D17" s="1">
        <f t="shared" si="3"/>
        <v>7769.9083783237384</v>
      </c>
      <c r="E17" s="1">
        <f t="shared" si="4"/>
        <v>1240885.3339907245</v>
      </c>
    </row>
    <row r="18" spans="1:5">
      <c r="A18">
        <f t="shared" si="0"/>
        <v>5</v>
      </c>
      <c r="B18" s="1">
        <f t="shared" si="1"/>
        <v>10069.91491939759</v>
      </c>
      <c r="C18" s="1">
        <f t="shared" si="2"/>
        <v>2314.3815819555621</v>
      </c>
      <c r="D18" s="1">
        <f t="shared" si="3"/>
        <v>7755.5333374420279</v>
      </c>
      <c r="E18" s="1">
        <f t="shared" si="4"/>
        <v>1238570.9524087689</v>
      </c>
    </row>
    <row r="19" spans="1:5">
      <c r="A19">
        <f t="shared" si="0"/>
        <v>6</v>
      </c>
      <c r="B19" s="1">
        <f t="shared" si="1"/>
        <v>10069.91491939759</v>
      </c>
      <c r="C19" s="1">
        <f t="shared" si="2"/>
        <v>2328.846466842785</v>
      </c>
      <c r="D19" s="1">
        <f t="shared" si="3"/>
        <v>7741.0684525548049</v>
      </c>
      <c r="E19" s="1">
        <f t="shared" si="4"/>
        <v>1236242.1059419261</v>
      </c>
    </row>
    <row r="20" spans="1:5">
      <c r="A20">
        <f t="shared" si="0"/>
        <v>7</v>
      </c>
      <c r="B20" s="1">
        <f t="shared" si="1"/>
        <v>10069.91491939759</v>
      </c>
      <c r="C20" s="1">
        <f t="shared" si="2"/>
        <v>2343.4017572605526</v>
      </c>
      <c r="D20" s="1">
        <f t="shared" si="3"/>
        <v>7726.5131621370374</v>
      </c>
      <c r="E20" s="1">
        <f t="shared" si="4"/>
        <v>1233898.7041846656</v>
      </c>
    </row>
    <row r="21" spans="1:5">
      <c r="A21">
        <f t="shared" si="0"/>
        <v>8</v>
      </c>
      <c r="B21" s="1">
        <f t="shared" si="1"/>
        <v>10069.91491939759</v>
      </c>
      <c r="C21" s="1">
        <f t="shared" si="2"/>
        <v>2358.0480182434312</v>
      </c>
      <c r="D21" s="1">
        <f t="shared" si="3"/>
        <v>7711.8669011541588</v>
      </c>
      <c r="E21" s="1">
        <f t="shared" si="4"/>
        <v>1231540.6561664222</v>
      </c>
    </row>
    <row r="22" spans="1:5">
      <c r="A22">
        <f t="shared" si="0"/>
        <v>9</v>
      </c>
      <c r="B22" s="1">
        <f t="shared" si="1"/>
        <v>10069.91491939759</v>
      </c>
      <c r="C22" s="1">
        <f t="shared" si="2"/>
        <v>2372.7858183574517</v>
      </c>
      <c r="D22" s="1">
        <f t="shared" si="3"/>
        <v>7697.1291010401383</v>
      </c>
      <c r="E22" s="1">
        <f t="shared" si="4"/>
        <v>1229167.8703480647</v>
      </c>
    </row>
    <row r="23" spans="1:5">
      <c r="A23">
        <f t="shared" si="0"/>
        <v>10</v>
      </c>
      <c r="B23" s="1">
        <f t="shared" si="1"/>
        <v>10069.91491939759</v>
      </c>
      <c r="C23" s="1">
        <f t="shared" si="2"/>
        <v>2387.6157297221862</v>
      </c>
      <c r="D23" s="1">
        <f t="shared" si="3"/>
        <v>7682.2991896754038</v>
      </c>
      <c r="E23" s="1">
        <f t="shared" si="4"/>
        <v>1226780.2546183425</v>
      </c>
    </row>
    <row r="24" spans="1:5">
      <c r="A24">
        <f t="shared" si="0"/>
        <v>11</v>
      </c>
      <c r="B24" s="1">
        <f t="shared" si="1"/>
        <v>10069.91491939759</v>
      </c>
      <c r="C24" s="1">
        <f t="shared" si="2"/>
        <v>2402.5383280329497</v>
      </c>
      <c r="D24" s="1">
        <f t="shared" si="3"/>
        <v>7667.3765913646403</v>
      </c>
      <c r="E24" s="1">
        <f t="shared" si="4"/>
        <v>1224377.7162903096</v>
      </c>
    </row>
    <row r="25" spans="1:5">
      <c r="A25">
        <f t="shared" si="0"/>
        <v>12</v>
      </c>
      <c r="B25" s="1">
        <f t="shared" si="1"/>
        <v>10069.91491939759</v>
      </c>
      <c r="C25" s="1">
        <f t="shared" si="2"/>
        <v>2417.5541925831558</v>
      </c>
      <c r="D25" s="1">
        <f t="shared" si="3"/>
        <v>7652.3607268144342</v>
      </c>
      <c r="E25" s="1">
        <f t="shared" si="4"/>
        <v>1221960.1620977265</v>
      </c>
    </row>
    <row r="26" spans="1:5">
      <c r="A26">
        <f t="shared" si="0"/>
        <v>13</v>
      </c>
      <c r="B26" s="1">
        <f t="shared" si="1"/>
        <v>10069.91491939759</v>
      </c>
      <c r="C26" s="1">
        <f t="shared" si="2"/>
        <v>2432.6639062867998</v>
      </c>
      <c r="D26" s="1">
        <f t="shared" si="3"/>
        <v>7637.2510131107902</v>
      </c>
      <c r="E26" s="1">
        <f t="shared" si="4"/>
        <v>1219527.4981914398</v>
      </c>
    </row>
    <row r="27" spans="1:5">
      <c r="A27">
        <f t="shared" si="0"/>
        <v>14</v>
      </c>
      <c r="B27" s="1">
        <f t="shared" si="1"/>
        <v>10069.91491939759</v>
      </c>
      <c r="C27" s="1">
        <f t="shared" si="2"/>
        <v>2447.8680557010921</v>
      </c>
      <c r="D27" s="1">
        <f t="shared" si="3"/>
        <v>7622.0468636964979</v>
      </c>
      <c r="E27" s="1">
        <f t="shared" si="4"/>
        <v>1217079.6301357388</v>
      </c>
    </row>
    <row r="28" spans="1:5">
      <c r="A28">
        <f t="shared" si="0"/>
        <v>15</v>
      </c>
      <c r="B28" s="1">
        <f t="shared" si="1"/>
        <v>10069.91491939759</v>
      </c>
      <c r="C28" s="1">
        <f t="shared" si="2"/>
        <v>2463.1672310492231</v>
      </c>
      <c r="D28" s="1">
        <f t="shared" si="3"/>
        <v>7606.7476883483669</v>
      </c>
      <c r="E28" s="1">
        <f t="shared" si="4"/>
        <v>1214616.4629046896</v>
      </c>
    </row>
    <row r="29" spans="1:5">
      <c r="A29">
        <f t="shared" si="0"/>
        <v>16</v>
      </c>
      <c r="B29" s="1">
        <f t="shared" si="1"/>
        <v>10069.91491939759</v>
      </c>
      <c r="C29" s="1">
        <f t="shared" si="2"/>
        <v>2478.5620262432803</v>
      </c>
      <c r="D29" s="1">
        <f t="shared" si="3"/>
        <v>7591.3528931543096</v>
      </c>
      <c r="E29" s="1">
        <f t="shared" si="4"/>
        <v>1212137.9008784464</v>
      </c>
    </row>
    <row r="30" spans="1:5">
      <c r="A30">
        <f t="shared" si="0"/>
        <v>17</v>
      </c>
      <c r="B30" s="1">
        <f t="shared" si="1"/>
        <v>10069.91491939759</v>
      </c>
      <c r="C30" s="1">
        <f t="shared" si="2"/>
        <v>2494.0530389073001</v>
      </c>
      <c r="D30" s="1">
        <f t="shared" si="3"/>
        <v>7575.8618804902899</v>
      </c>
      <c r="E30" s="1">
        <f t="shared" si="4"/>
        <v>1209643.8478395392</v>
      </c>
    </row>
    <row r="31" spans="1:5">
      <c r="A31">
        <f t="shared" si="0"/>
        <v>18</v>
      </c>
      <c r="B31" s="1">
        <f t="shared" si="1"/>
        <v>10069.91491939759</v>
      </c>
      <c r="C31" s="1">
        <f t="shared" si="2"/>
        <v>2509.6408704004707</v>
      </c>
      <c r="D31" s="1">
        <f t="shared" si="3"/>
        <v>7560.2740489971193</v>
      </c>
      <c r="E31" s="1">
        <f t="shared" si="4"/>
        <v>1207134.2069691387</v>
      </c>
    </row>
    <row r="32" spans="1:5">
      <c r="A32">
        <f t="shared" si="0"/>
        <v>19</v>
      </c>
      <c r="B32" s="1">
        <f t="shared" si="1"/>
        <v>10069.91491939759</v>
      </c>
      <c r="C32" s="1">
        <f t="shared" si="2"/>
        <v>2525.3261258404737</v>
      </c>
      <c r="D32" s="1">
        <f t="shared" si="3"/>
        <v>7544.5887935571163</v>
      </c>
      <c r="E32" s="1">
        <f t="shared" si="4"/>
        <v>1204608.8808432983</v>
      </c>
    </row>
    <row r="33" spans="1:5">
      <c r="A33">
        <f t="shared" si="0"/>
        <v>20</v>
      </c>
      <c r="B33" s="1">
        <f t="shared" si="1"/>
        <v>10069.91491939759</v>
      </c>
      <c r="C33" s="1">
        <f t="shared" si="2"/>
        <v>2541.1094141269759</v>
      </c>
      <c r="D33" s="1">
        <f t="shared" si="3"/>
        <v>7528.805505270614</v>
      </c>
      <c r="E33" s="1">
        <f t="shared" si="4"/>
        <v>1202067.7714291713</v>
      </c>
    </row>
    <row r="34" spans="1:5">
      <c r="A34">
        <f t="shared" si="0"/>
        <v>21</v>
      </c>
      <c r="B34" s="1">
        <f t="shared" si="1"/>
        <v>10069.91491939759</v>
      </c>
      <c r="C34" s="1">
        <f t="shared" si="2"/>
        <v>2556.9913479652696</v>
      </c>
      <c r="D34" s="1">
        <f t="shared" si="3"/>
        <v>7512.9235714323204</v>
      </c>
      <c r="E34" s="1">
        <f t="shared" si="4"/>
        <v>1199510.780081206</v>
      </c>
    </row>
    <row r="35" spans="1:5">
      <c r="A35">
        <f t="shared" si="0"/>
        <v>22</v>
      </c>
      <c r="B35" s="1">
        <f t="shared" si="1"/>
        <v>10069.91491939759</v>
      </c>
      <c r="C35" s="1">
        <f t="shared" si="2"/>
        <v>2572.9725438900532</v>
      </c>
      <c r="D35" s="1">
        <f t="shared" si="3"/>
        <v>7496.9423755075368</v>
      </c>
      <c r="E35" s="1">
        <f t="shared" si="4"/>
        <v>1196937.8075373159</v>
      </c>
    </row>
    <row r="36" spans="1:5">
      <c r="A36">
        <f t="shared" si="0"/>
        <v>23</v>
      </c>
      <c r="B36" s="1">
        <f t="shared" si="1"/>
        <v>10069.91491939759</v>
      </c>
      <c r="C36" s="1">
        <f t="shared" si="2"/>
        <v>2589.0536222893661</v>
      </c>
      <c r="D36" s="1">
        <f t="shared" si="3"/>
        <v>7480.8612971082239</v>
      </c>
      <c r="E36" s="1">
        <f t="shared" si="4"/>
        <v>1194348.7539150266</v>
      </c>
    </row>
    <row r="37" spans="1:5">
      <c r="A37">
        <f t="shared" si="0"/>
        <v>24</v>
      </c>
      <c r="B37" s="1">
        <f t="shared" si="1"/>
        <v>10069.91491939759</v>
      </c>
      <c r="C37" s="1">
        <f t="shared" si="2"/>
        <v>2605.2352074286746</v>
      </c>
      <c r="D37" s="1">
        <f t="shared" si="3"/>
        <v>7464.6797119689154</v>
      </c>
      <c r="E37" s="1">
        <f t="shared" si="4"/>
        <v>1191743.5187075979</v>
      </c>
    </row>
    <row r="38" spans="1:5">
      <c r="A38">
        <f t="shared" si="0"/>
        <v>25</v>
      </c>
      <c r="B38" s="1">
        <f t="shared" si="1"/>
        <v>10069.91491939759</v>
      </c>
      <c r="C38" s="1">
        <f t="shared" si="2"/>
        <v>2621.5179274751035</v>
      </c>
      <c r="D38" s="1">
        <f t="shared" si="3"/>
        <v>7448.3969919224864</v>
      </c>
      <c r="E38" s="1">
        <f t="shared" si="4"/>
        <v>1189122.0007801228</v>
      </c>
    </row>
    <row r="39" spans="1:5">
      <c r="A39">
        <f t="shared" si="0"/>
        <v>26</v>
      </c>
      <c r="B39" s="1">
        <f t="shared" si="1"/>
        <v>10069.91491939759</v>
      </c>
      <c r="C39" s="1">
        <f t="shared" si="2"/>
        <v>2637.9024145218227</v>
      </c>
      <c r="D39" s="1">
        <f t="shared" si="3"/>
        <v>7432.0125048757673</v>
      </c>
      <c r="E39" s="1">
        <f t="shared" si="4"/>
        <v>1186484.0983656009</v>
      </c>
    </row>
    <row r="40" spans="1:5">
      <c r="A40">
        <f t="shared" si="0"/>
        <v>27</v>
      </c>
      <c r="B40" s="1">
        <f t="shared" si="1"/>
        <v>10069.91491939759</v>
      </c>
      <c r="C40" s="1">
        <f t="shared" si="2"/>
        <v>2654.389304612585</v>
      </c>
      <c r="D40" s="1">
        <f t="shared" si="3"/>
        <v>7415.525614785005</v>
      </c>
      <c r="E40" s="1">
        <f t="shared" si="4"/>
        <v>1183829.7090609884</v>
      </c>
    </row>
    <row r="41" spans="1:5">
      <c r="A41">
        <f t="shared" si="0"/>
        <v>28</v>
      </c>
      <c r="B41" s="1">
        <f t="shared" si="1"/>
        <v>10069.91491939759</v>
      </c>
      <c r="C41" s="1">
        <f t="shared" si="2"/>
        <v>2670.9792377664135</v>
      </c>
      <c r="D41" s="1">
        <f t="shared" si="3"/>
        <v>7398.9356816311765</v>
      </c>
      <c r="E41" s="1">
        <f t="shared" si="4"/>
        <v>1181158.7298232219</v>
      </c>
    </row>
    <row r="42" spans="1:5">
      <c r="A42">
        <f t="shared" si="0"/>
        <v>29</v>
      </c>
      <c r="B42" s="1">
        <f t="shared" si="1"/>
        <v>10069.91491939759</v>
      </c>
      <c r="C42" s="1">
        <f t="shared" si="2"/>
        <v>2687.6728580024537</v>
      </c>
      <c r="D42" s="1">
        <f t="shared" si="3"/>
        <v>7382.2420613951363</v>
      </c>
      <c r="E42" s="1">
        <f t="shared" si="4"/>
        <v>1178471.0569652196</v>
      </c>
    </row>
    <row r="43" spans="1:5">
      <c r="A43">
        <f t="shared" si="0"/>
        <v>30</v>
      </c>
      <c r="B43" s="1">
        <f t="shared" si="1"/>
        <v>10069.91491939759</v>
      </c>
      <c r="C43" s="1">
        <f t="shared" si="2"/>
        <v>2704.4708133649683</v>
      </c>
      <c r="D43" s="1">
        <f t="shared" si="3"/>
        <v>7365.4441060326217</v>
      </c>
      <c r="E43" s="1">
        <f t="shared" si="4"/>
        <v>1175766.5861518546</v>
      </c>
    </row>
    <row r="44" spans="1:5">
      <c r="A44">
        <f t="shared" si="0"/>
        <v>31</v>
      </c>
      <c r="B44" s="1">
        <f t="shared" si="1"/>
        <v>10069.91491939759</v>
      </c>
      <c r="C44" s="1">
        <f t="shared" si="2"/>
        <v>2721.3737559484989</v>
      </c>
      <c r="D44" s="1">
        <f t="shared" si="3"/>
        <v>7348.5411634490911</v>
      </c>
      <c r="E44" s="1">
        <f t="shared" si="4"/>
        <v>1173045.2123959062</v>
      </c>
    </row>
    <row r="45" spans="1:5">
      <c r="A45">
        <f t="shared" si="0"/>
        <v>32</v>
      </c>
      <c r="B45" s="1">
        <f t="shared" si="1"/>
        <v>10069.91491939759</v>
      </c>
      <c r="C45" s="1">
        <f t="shared" si="2"/>
        <v>2738.3823419231767</v>
      </c>
      <c r="D45" s="1">
        <f t="shared" si="3"/>
        <v>7331.5325774744133</v>
      </c>
      <c r="E45" s="1">
        <f t="shared" si="4"/>
        <v>1170306.830053983</v>
      </c>
    </row>
    <row r="46" spans="1:5">
      <c r="A46">
        <f t="shared" si="0"/>
        <v>33</v>
      </c>
      <c r="B46" s="1">
        <f t="shared" si="1"/>
        <v>10069.91491939759</v>
      </c>
      <c r="C46" s="1">
        <f t="shared" si="2"/>
        <v>2755.4972315601963</v>
      </c>
      <c r="D46" s="1">
        <f t="shared" si="3"/>
        <v>7314.4176878373937</v>
      </c>
      <c r="E46" s="1">
        <f t="shared" si="4"/>
        <v>1167551.3328224227</v>
      </c>
    </row>
    <row r="47" spans="1:5">
      <c r="A47">
        <f t="shared" si="0"/>
        <v>34</v>
      </c>
      <c r="B47" s="1">
        <f t="shared" si="1"/>
        <v>10069.91491939759</v>
      </c>
      <c r="C47" s="1">
        <f t="shared" si="2"/>
        <v>2772.7190892574481</v>
      </c>
      <c r="D47" s="1">
        <f t="shared" si="3"/>
        <v>7297.1958301401419</v>
      </c>
      <c r="E47" s="1">
        <f t="shared" si="4"/>
        <v>1164778.6137331652</v>
      </c>
    </row>
    <row r="48" spans="1:5">
      <c r="A48">
        <f t="shared" si="0"/>
        <v>35</v>
      </c>
      <c r="B48" s="1">
        <f t="shared" si="1"/>
        <v>10069.91491939759</v>
      </c>
      <c r="C48" s="1">
        <f t="shared" si="2"/>
        <v>2790.048583565308</v>
      </c>
      <c r="D48" s="1">
        <f t="shared" si="3"/>
        <v>7279.8663358322819</v>
      </c>
      <c r="E48" s="1">
        <f t="shared" si="4"/>
        <v>1161988.5651495999</v>
      </c>
    </row>
    <row r="49" spans="1:5">
      <c r="A49">
        <f t="shared" si="0"/>
        <v>36</v>
      </c>
      <c r="B49" s="1">
        <f t="shared" si="1"/>
        <v>10069.91491939759</v>
      </c>
      <c r="C49" s="1">
        <f t="shared" si="2"/>
        <v>2807.4863872125907</v>
      </c>
      <c r="D49" s="1">
        <f t="shared" si="3"/>
        <v>7262.4285321849993</v>
      </c>
      <c r="E49" s="1">
        <f t="shared" si="4"/>
        <v>1159181.0787623874</v>
      </c>
    </row>
    <row r="50" spans="1:5">
      <c r="A50">
        <f t="shared" si="0"/>
        <v>37</v>
      </c>
      <c r="B50" s="1">
        <f t="shared" si="1"/>
        <v>10069.91491939759</v>
      </c>
      <c r="C50" s="1">
        <f t="shared" si="2"/>
        <v>2825.0331771326692</v>
      </c>
      <c r="D50" s="1">
        <f t="shared" si="3"/>
        <v>7244.8817422649208</v>
      </c>
      <c r="E50" s="1">
        <f t="shared" si="4"/>
        <v>1156356.0455852547</v>
      </c>
    </row>
    <row r="51" spans="1:5">
      <c r="A51">
        <f t="shared" si="0"/>
        <v>38</v>
      </c>
      <c r="B51" s="1">
        <f t="shared" si="1"/>
        <v>10069.91491939759</v>
      </c>
      <c r="C51" s="1">
        <f t="shared" si="2"/>
        <v>2842.6896344897486</v>
      </c>
      <c r="D51" s="1">
        <f t="shared" si="3"/>
        <v>7227.2252849078413</v>
      </c>
      <c r="E51" s="1">
        <f t="shared" si="4"/>
        <v>1153513.3559507648</v>
      </c>
    </row>
    <row r="52" spans="1:5">
      <c r="A52">
        <f t="shared" si="0"/>
        <v>39</v>
      </c>
      <c r="B52" s="1">
        <f t="shared" si="1"/>
        <v>10069.91491939759</v>
      </c>
      <c r="C52" s="1">
        <f t="shared" si="2"/>
        <v>2860.4564447053099</v>
      </c>
      <c r="D52" s="1">
        <f t="shared" si="3"/>
        <v>7209.4584746922801</v>
      </c>
      <c r="E52" s="1">
        <f t="shared" si="4"/>
        <v>1150652.8995060595</v>
      </c>
    </row>
    <row r="53" spans="1:5">
      <c r="A53">
        <f t="shared" si="0"/>
        <v>40</v>
      </c>
      <c r="B53" s="1">
        <f t="shared" si="1"/>
        <v>10069.91491939759</v>
      </c>
      <c r="C53" s="1">
        <f t="shared" si="2"/>
        <v>2878.3342974847192</v>
      </c>
      <c r="D53" s="1">
        <f t="shared" si="3"/>
        <v>7191.5806219128708</v>
      </c>
      <c r="E53" s="1">
        <f t="shared" si="4"/>
        <v>1147774.5652085748</v>
      </c>
    </row>
    <row r="54" spans="1:5">
      <c r="A54">
        <f t="shared" si="0"/>
        <v>41</v>
      </c>
      <c r="B54" s="1">
        <f t="shared" si="1"/>
        <v>10069.91491939759</v>
      </c>
      <c r="C54" s="1">
        <f t="shared" si="2"/>
        <v>2896.3238868439985</v>
      </c>
      <c r="D54" s="1">
        <f t="shared" si="3"/>
        <v>7173.5910325535915</v>
      </c>
      <c r="E54" s="1">
        <f t="shared" si="4"/>
        <v>1144878.2413217307</v>
      </c>
    </row>
    <row r="55" spans="1:5">
      <c r="A55">
        <f t="shared" si="0"/>
        <v>42</v>
      </c>
      <c r="B55" s="1">
        <f t="shared" si="1"/>
        <v>10069.91491939759</v>
      </c>
      <c r="C55" s="1">
        <f t="shared" si="2"/>
        <v>2914.4259111367737</v>
      </c>
      <c r="D55" s="1">
        <f t="shared" si="3"/>
        <v>7155.4890082608163</v>
      </c>
      <c r="E55" s="1">
        <f t="shared" si="4"/>
        <v>1141963.815410594</v>
      </c>
    </row>
    <row r="56" spans="1:5">
      <c r="A56">
        <f t="shared" si="0"/>
        <v>43</v>
      </c>
      <c r="B56" s="1">
        <f t="shared" si="1"/>
        <v>10069.91491939759</v>
      </c>
      <c r="C56" s="1">
        <f t="shared" si="2"/>
        <v>2932.6410730813777</v>
      </c>
      <c r="D56" s="1">
        <f t="shared" si="3"/>
        <v>7137.2738463162123</v>
      </c>
      <c r="E56" s="1">
        <f t="shared" si="4"/>
        <v>1139031.1743375126</v>
      </c>
    </row>
    <row r="57" spans="1:5">
      <c r="A57">
        <f t="shared" si="0"/>
        <v>44</v>
      </c>
      <c r="B57" s="1">
        <f t="shared" si="1"/>
        <v>10069.91491939759</v>
      </c>
      <c r="C57" s="1">
        <f t="shared" si="2"/>
        <v>2950.9700797881369</v>
      </c>
      <c r="D57" s="1">
        <f t="shared" si="3"/>
        <v>7118.9448396094531</v>
      </c>
      <c r="E57" s="1">
        <f t="shared" si="4"/>
        <v>1136080.2042577243</v>
      </c>
    </row>
    <row r="58" spans="1:5">
      <c r="A58">
        <f t="shared" si="0"/>
        <v>45</v>
      </c>
      <c r="B58" s="1">
        <f t="shared" si="1"/>
        <v>10069.91491939759</v>
      </c>
      <c r="C58" s="1">
        <f t="shared" si="2"/>
        <v>2969.4136427868134</v>
      </c>
      <c r="D58" s="1">
        <f t="shared" si="3"/>
        <v>7100.5012766107766</v>
      </c>
      <c r="E58" s="1">
        <f t="shared" si="4"/>
        <v>1133110.7906149374</v>
      </c>
    </row>
    <row r="59" spans="1:5">
      <c r="A59">
        <f t="shared" si="0"/>
        <v>46</v>
      </c>
      <c r="B59" s="1">
        <f t="shared" si="1"/>
        <v>10069.91491939759</v>
      </c>
      <c r="C59" s="1">
        <f t="shared" si="2"/>
        <v>2987.9724780542319</v>
      </c>
      <c r="D59" s="1">
        <f t="shared" si="3"/>
        <v>7081.942441343358</v>
      </c>
      <c r="E59" s="1">
        <f t="shared" si="4"/>
        <v>1130122.8181368832</v>
      </c>
    </row>
    <row r="60" spans="1:5">
      <c r="A60">
        <f t="shared" si="0"/>
        <v>47</v>
      </c>
      <c r="B60" s="1">
        <f t="shared" si="1"/>
        <v>10069.91491939759</v>
      </c>
      <c r="C60" s="1">
        <f t="shared" si="2"/>
        <v>3006.6473060420703</v>
      </c>
      <c r="D60" s="1">
        <f t="shared" si="3"/>
        <v>7063.2676133555196</v>
      </c>
      <c r="E60" s="1">
        <f t="shared" si="4"/>
        <v>1127116.1708308412</v>
      </c>
    </row>
    <row r="61" spans="1:5">
      <c r="A61">
        <f t="shared" si="0"/>
        <v>48</v>
      </c>
      <c r="B61" s="1">
        <f t="shared" si="1"/>
        <v>10069.91491939759</v>
      </c>
      <c r="C61" s="1">
        <f t="shared" si="2"/>
        <v>3025.4388517048328</v>
      </c>
      <c r="D61" s="1">
        <f t="shared" si="3"/>
        <v>7044.4760676927572</v>
      </c>
      <c r="E61" s="1">
        <f t="shared" si="4"/>
        <v>1124090.7319791364</v>
      </c>
    </row>
    <row r="62" spans="1:5">
      <c r="A62">
        <f t="shared" si="0"/>
        <v>49</v>
      </c>
      <c r="B62" s="1">
        <f t="shared" si="1"/>
        <v>10069.91491939759</v>
      </c>
      <c r="C62" s="1">
        <f t="shared" si="2"/>
        <v>3044.3478445279879</v>
      </c>
      <c r="D62" s="1">
        <f t="shared" si="3"/>
        <v>7025.567074869602</v>
      </c>
      <c r="E62" s="1">
        <f t="shared" si="4"/>
        <v>1121046.3841346083</v>
      </c>
    </row>
    <row r="63" spans="1:5">
      <c r="A63">
        <f t="shared" si="0"/>
        <v>50</v>
      </c>
      <c r="B63" s="1">
        <f t="shared" si="1"/>
        <v>10069.91491939759</v>
      </c>
      <c r="C63" s="1">
        <f t="shared" si="2"/>
        <v>3063.3750185562885</v>
      </c>
      <c r="D63" s="1">
        <f t="shared" si="3"/>
        <v>7006.5399008413015</v>
      </c>
      <c r="E63" s="1">
        <f t="shared" si="4"/>
        <v>1117983.009116052</v>
      </c>
    </row>
    <row r="64" spans="1:5">
      <c r="A64">
        <f t="shared" si="0"/>
        <v>51</v>
      </c>
      <c r="B64" s="1">
        <f t="shared" si="1"/>
        <v>10069.91491939759</v>
      </c>
      <c r="C64" s="1">
        <f t="shared" si="2"/>
        <v>3082.521112422266</v>
      </c>
      <c r="D64" s="1">
        <f t="shared" si="3"/>
        <v>6987.393806975324</v>
      </c>
      <c r="E64" s="1">
        <f t="shared" si="4"/>
        <v>1114900.4880036297</v>
      </c>
    </row>
    <row r="65" spans="1:5">
      <c r="A65">
        <f t="shared" si="0"/>
        <v>52</v>
      </c>
      <c r="B65" s="1">
        <f t="shared" si="1"/>
        <v>10069.91491939759</v>
      </c>
      <c r="C65" s="1">
        <f t="shared" si="2"/>
        <v>3101.7868693749051</v>
      </c>
      <c r="D65" s="1">
        <f t="shared" si="3"/>
        <v>6968.1280500226849</v>
      </c>
      <c r="E65" s="1">
        <f t="shared" si="4"/>
        <v>1111798.7011342549</v>
      </c>
    </row>
    <row r="66" spans="1:5">
      <c r="A66">
        <f t="shared" si="0"/>
        <v>53</v>
      </c>
      <c r="B66" s="1">
        <f t="shared" si="1"/>
        <v>10069.91491939759</v>
      </c>
      <c r="C66" s="1">
        <f t="shared" si="2"/>
        <v>3121.1730373084974</v>
      </c>
      <c r="D66" s="1">
        <f t="shared" si="3"/>
        <v>6948.7418820890925</v>
      </c>
      <c r="E66" s="1">
        <f t="shared" si="4"/>
        <v>1108677.5280969464</v>
      </c>
    </row>
    <row r="67" spans="1:5">
      <c r="A67">
        <f t="shared" si="0"/>
        <v>54</v>
      </c>
      <c r="B67" s="1">
        <f t="shared" si="1"/>
        <v>10069.91491939759</v>
      </c>
      <c r="C67" s="1">
        <f t="shared" si="2"/>
        <v>3140.6803687916754</v>
      </c>
      <c r="D67" s="1">
        <f t="shared" si="3"/>
        <v>6929.2345506059146</v>
      </c>
      <c r="E67" s="1">
        <f t="shared" si="4"/>
        <v>1105536.8477281549</v>
      </c>
    </row>
    <row r="68" spans="1:5">
      <c r="A68">
        <f t="shared" si="0"/>
        <v>55</v>
      </c>
      <c r="B68" s="1">
        <f t="shared" si="1"/>
        <v>10069.91491939759</v>
      </c>
      <c r="C68" s="1">
        <f t="shared" si="2"/>
        <v>3160.3096210966223</v>
      </c>
      <c r="D68" s="1">
        <f t="shared" si="3"/>
        <v>6909.6052983009677</v>
      </c>
      <c r="E68" s="1">
        <f t="shared" si="4"/>
        <v>1102376.5381070583</v>
      </c>
    </row>
    <row r="69" spans="1:5">
      <c r="A69">
        <f t="shared" si="0"/>
        <v>56</v>
      </c>
      <c r="B69" s="1">
        <f t="shared" si="1"/>
        <v>10069.91491939759</v>
      </c>
      <c r="C69" s="1">
        <f t="shared" si="2"/>
        <v>3180.0615562284765</v>
      </c>
      <c r="D69" s="1">
        <f t="shared" si="3"/>
        <v>6889.8533631691134</v>
      </c>
      <c r="E69" s="1">
        <f t="shared" si="4"/>
        <v>1099196.4765508298</v>
      </c>
    </row>
    <row r="70" spans="1:5">
      <c r="A70">
        <f t="shared" si="0"/>
        <v>57</v>
      </c>
      <c r="B70" s="1">
        <f t="shared" si="1"/>
        <v>10069.91491939759</v>
      </c>
      <c r="C70" s="1">
        <f t="shared" si="2"/>
        <v>3199.9369409549045</v>
      </c>
      <c r="D70" s="1">
        <f t="shared" si="3"/>
        <v>6869.9779784426855</v>
      </c>
      <c r="E70" s="1">
        <f t="shared" si="4"/>
        <v>1095996.5396098748</v>
      </c>
    </row>
    <row r="71" spans="1:5">
      <c r="A71">
        <f t="shared" si="0"/>
        <v>58</v>
      </c>
      <c r="B71" s="1">
        <f t="shared" si="1"/>
        <v>10069.91491939759</v>
      </c>
      <c r="C71" s="1">
        <f t="shared" si="2"/>
        <v>3219.9365468358728</v>
      </c>
      <c r="D71" s="1">
        <f t="shared" si="3"/>
        <v>6849.9783725617172</v>
      </c>
      <c r="E71" s="1">
        <f t="shared" si="4"/>
        <v>1092776.603063039</v>
      </c>
    </row>
    <row r="72" spans="1:5">
      <c r="A72">
        <f t="shared" si="0"/>
        <v>59</v>
      </c>
      <c r="B72" s="1">
        <f t="shared" si="1"/>
        <v>10069.91491939759</v>
      </c>
      <c r="C72" s="1">
        <f t="shared" si="2"/>
        <v>3240.0611502535967</v>
      </c>
      <c r="D72" s="1">
        <f t="shared" si="3"/>
        <v>6829.8537691439933</v>
      </c>
      <c r="E72" s="1">
        <f t="shared" si="4"/>
        <v>1089536.5419127855</v>
      </c>
    </row>
    <row r="73" spans="1:5">
      <c r="A73">
        <f t="shared" si="0"/>
        <v>60</v>
      </c>
      <c r="B73" s="1">
        <f t="shared" si="1"/>
        <v>10069.91491939759</v>
      </c>
      <c r="C73" s="1">
        <f t="shared" si="2"/>
        <v>3260.3115324426808</v>
      </c>
      <c r="D73" s="1">
        <f t="shared" si="3"/>
        <v>6809.6033869549092</v>
      </c>
      <c r="E73" s="1">
        <f t="shared" si="4"/>
        <v>1086276.2303803428</v>
      </c>
    </row>
    <row r="74" spans="1:5">
      <c r="A74">
        <f t="shared" si="0"/>
        <v>61</v>
      </c>
      <c r="B74" s="1">
        <f t="shared" si="1"/>
        <v>10069.91491939759</v>
      </c>
      <c r="C74" s="1">
        <f t="shared" si="2"/>
        <v>3280.6884795204478</v>
      </c>
      <c r="D74" s="1">
        <f t="shared" si="3"/>
        <v>6789.2264398771422</v>
      </c>
      <c r="E74" s="1">
        <f t="shared" si="4"/>
        <v>1082995.5419008224</v>
      </c>
    </row>
    <row r="75" spans="1:5">
      <c r="A75">
        <f t="shared" si="0"/>
        <v>62</v>
      </c>
      <c r="B75" s="1">
        <f t="shared" si="1"/>
        <v>10069.91491939759</v>
      </c>
      <c r="C75" s="1">
        <f t="shared" si="2"/>
        <v>3301.1927825174507</v>
      </c>
      <c r="D75" s="1">
        <f t="shared" si="3"/>
        <v>6768.7221368801393</v>
      </c>
      <c r="E75" s="1">
        <f t="shared" si="4"/>
        <v>1079694.3491183049</v>
      </c>
    </row>
    <row r="76" spans="1:5">
      <c r="A76">
        <f t="shared" si="0"/>
        <v>63</v>
      </c>
      <c r="B76" s="1">
        <f t="shared" si="1"/>
        <v>10069.91491939759</v>
      </c>
      <c r="C76" s="1">
        <f t="shared" si="2"/>
        <v>3321.8252374081849</v>
      </c>
      <c r="D76" s="1">
        <f t="shared" si="3"/>
        <v>6748.0896819894051</v>
      </c>
      <c r="E76" s="1">
        <f t="shared" si="4"/>
        <v>1076372.5238808966</v>
      </c>
    </row>
    <row r="77" spans="1:5">
      <c r="A77">
        <f t="shared" si="0"/>
        <v>64</v>
      </c>
      <c r="B77" s="1">
        <f t="shared" si="1"/>
        <v>10069.91491939759</v>
      </c>
      <c r="C77" s="1">
        <f t="shared" si="2"/>
        <v>3342.586645141987</v>
      </c>
      <c r="D77" s="1">
        <f t="shared" si="3"/>
        <v>6727.328274255603</v>
      </c>
      <c r="E77" s="1">
        <f t="shared" si="4"/>
        <v>1073029.9372357547</v>
      </c>
    </row>
    <row r="78" spans="1:5">
      <c r="A78">
        <f t="shared" si="0"/>
        <v>65</v>
      </c>
      <c r="B78" s="1">
        <f t="shared" si="1"/>
        <v>10069.91491939759</v>
      </c>
      <c r="C78" s="1">
        <f t="shared" si="2"/>
        <v>3363.4778116741236</v>
      </c>
      <c r="D78" s="1">
        <f t="shared" si="3"/>
        <v>6706.4371077234664</v>
      </c>
      <c r="E78" s="1">
        <f t="shared" si="4"/>
        <v>1069666.4594240806</v>
      </c>
    </row>
    <row r="79" spans="1:5">
      <c r="A79">
        <f t="shared" si="0"/>
        <v>66</v>
      </c>
      <c r="B79" s="1">
        <f t="shared" si="1"/>
        <v>10069.91491939759</v>
      </c>
      <c r="C79" s="1">
        <f t="shared" si="2"/>
        <v>3384.4995479970867</v>
      </c>
      <c r="D79" s="1">
        <f t="shared" si="3"/>
        <v>6685.4153714005033</v>
      </c>
      <c r="E79" s="1">
        <f t="shared" si="4"/>
        <v>1066281.9598760835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10069.91491939759</v>
      </c>
      <c r="C80" s="1">
        <f t="shared" ref="C80:C143" si="7">IF(A80="","",B80-D80)</f>
        <v>3405.6526701720686</v>
      </c>
      <c r="D80" s="1">
        <f t="shared" ref="D80:D143" si="8">IF(A80="","",(E79*($B$6/$B$8)))</f>
        <v>6664.2622492255214</v>
      </c>
      <c r="E80" s="1">
        <f t="shared" ref="E80:E143" si="9">IF(A80="","",E79-C80)</f>
        <v>1062876.3072059115</v>
      </c>
    </row>
    <row r="81" spans="1:5">
      <c r="A81">
        <f t="shared" si="5"/>
        <v>68</v>
      </c>
      <c r="B81" s="1">
        <f t="shared" si="6"/>
        <v>10069.91491939759</v>
      </c>
      <c r="C81" s="1">
        <f t="shared" si="7"/>
        <v>3426.9379993606435</v>
      </c>
      <c r="D81" s="1">
        <f t="shared" si="8"/>
        <v>6642.9769200369465</v>
      </c>
      <c r="E81" s="1">
        <f t="shared" si="9"/>
        <v>1059449.3692065508</v>
      </c>
    </row>
    <row r="82" spans="1:5">
      <c r="A82">
        <f t="shared" si="5"/>
        <v>69</v>
      </c>
      <c r="B82" s="1">
        <f t="shared" si="6"/>
        <v>10069.91491939759</v>
      </c>
      <c r="C82" s="1">
        <f t="shared" si="7"/>
        <v>3448.3563618566486</v>
      </c>
      <c r="D82" s="1">
        <f t="shared" si="8"/>
        <v>6621.5585575409414</v>
      </c>
      <c r="E82" s="1">
        <f t="shared" si="9"/>
        <v>1056001.0128446941</v>
      </c>
    </row>
    <row r="83" spans="1:5">
      <c r="A83">
        <f t="shared" si="5"/>
        <v>70</v>
      </c>
      <c r="B83" s="1">
        <f t="shared" si="6"/>
        <v>10069.91491939759</v>
      </c>
      <c r="C83" s="1">
        <f t="shared" si="7"/>
        <v>3469.9085891182522</v>
      </c>
      <c r="D83" s="1">
        <f t="shared" si="8"/>
        <v>6600.0063302793378</v>
      </c>
      <c r="E83" s="1">
        <f t="shared" si="9"/>
        <v>1052531.1042555759</v>
      </c>
    </row>
    <row r="84" spans="1:5">
      <c r="A84">
        <f t="shared" si="5"/>
        <v>71</v>
      </c>
      <c r="B84" s="1">
        <f t="shared" si="6"/>
        <v>10069.91491939759</v>
      </c>
      <c r="C84" s="1">
        <f t="shared" si="7"/>
        <v>3491.5955178002414</v>
      </c>
      <c r="D84" s="1">
        <f t="shared" si="8"/>
        <v>6578.3194015973486</v>
      </c>
      <c r="E84" s="1">
        <f t="shared" si="9"/>
        <v>1049039.5087377757</v>
      </c>
    </row>
    <row r="85" spans="1:5">
      <c r="A85">
        <f t="shared" si="5"/>
        <v>72</v>
      </c>
      <c r="B85" s="1">
        <f t="shared" si="6"/>
        <v>10069.91491939759</v>
      </c>
      <c r="C85" s="1">
        <f t="shared" si="7"/>
        <v>3513.4179897864924</v>
      </c>
      <c r="D85" s="1">
        <f t="shared" si="8"/>
        <v>6556.4969296110976</v>
      </c>
      <c r="E85" s="1">
        <f t="shared" si="9"/>
        <v>1045526.0907479892</v>
      </c>
    </row>
    <row r="86" spans="1:5">
      <c r="A86">
        <f t="shared" si="5"/>
        <v>73</v>
      </c>
      <c r="B86" s="1">
        <f t="shared" si="6"/>
        <v>10069.91491939759</v>
      </c>
      <c r="C86" s="1">
        <f t="shared" si="7"/>
        <v>3535.3768522226574</v>
      </c>
      <c r="D86" s="1">
        <f t="shared" si="8"/>
        <v>6534.5380671749326</v>
      </c>
      <c r="E86" s="1">
        <f t="shared" si="9"/>
        <v>1041990.7138957666</v>
      </c>
    </row>
    <row r="87" spans="1:5">
      <c r="A87">
        <f t="shared" si="5"/>
        <v>74</v>
      </c>
      <c r="B87" s="1">
        <f t="shared" si="6"/>
        <v>10069.91491939759</v>
      </c>
      <c r="C87" s="1">
        <f t="shared" si="7"/>
        <v>3557.4729575490492</v>
      </c>
      <c r="D87" s="1">
        <f t="shared" si="8"/>
        <v>6512.4419618485408</v>
      </c>
      <c r="E87" s="1">
        <f t="shared" si="9"/>
        <v>1038433.2409382176</v>
      </c>
    </row>
    <row r="88" spans="1:5">
      <c r="A88">
        <f t="shared" si="5"/>
        <v>75</v>
      </c>
      <c r="B88" s="1">
        <f t="shared" si="6"/>
        <v>10069.91491939759</v>
      </c>
      <c r="C88" s="1">
        <f t="shared" si="7"/>
        <v>3579.7071635337306</v>
      </c>
      <c r="D88" s="1">
        <f t="shared" si="8"/>
        <v>6490.2077558638593</v>
      </c>
      <c r="E88" s="1">
        <f t="shared" si="9"/>
        <v>1034853.5337746838</v>
      </c>
    </row>
    <row r="89" spans="1:5">
      <c r="A89">
        <f t="shared" si="5"/>
        <v>76</v>
      </c>
      <c r="B89" s="1">
        <f t="shared" si="6"/>
        <v>10069.91491939759</v>
      </c>
      <c r="C89" s="1">
        <f t="shared" si="7"/>
        <v>3602.0803333058166</v>
      </c>
      <c r="D89" s="1">
        <f t="shared" si="8"/>
        <v>6467.8345860917734</v>
      </c>
      <c r="E89" s="1">
        <f t="shared" si="9"/>
        <v>1031251.453441378</v>
      </c>
    </row>
    <row r="90" spans="1:5">
      <c r="A90">
        <f t="shared" si="5"/>
        <v>77</v>
      </c>
      <c r="B90" s="1">
        <f t="shared" si="6"/>
        <v>10069.91491939759</v>
      </c>
      <c r="C90" s="1">
        <f t="shared" si="7"/>
        <v>3624.5933353889786</v>
      </c>
      <c r="D90" s="1">
        <f t="shared" si="8"/>
        <v>6445.3215840086114</v>
      </c>
      <c r="E90" s="1">
        <f t="shared" si="9"/>
        <v>1027626.860105989</v>
      </c>
    </row>
    <row r="91" spans="1:5">
      <c r="A91">
        <f t="shared" si="5"/>
        <v>78</v>
      </c>
      <c r="B91" s="1">
        <f t="shared" si="6"/>
        <v>10069.91491939759</v>
      </c>
      <c r="C91" s="1">
        <f t="shared" si="7"/>
        <v>3647.2470437351594</v>
      </c>
      <c r="D91" s="1">
        <f t="shared" si="8"/>
        <v>6422.6678756624306</v>
      </c>
      <c r="E91" s="1">
        <f t="shared" si="9"/>
        <v>1023979.6130622539</v>
      </c>
    </row>
    <row r="92" spans="1:5">
      <c r="A92">
        <f t="shared" si="5"/>
        <v>79</v>
      </c>
      <c r="B92" s="1">
        <f t="shared" si="6"/>
        <v>10069.91491939759</v>
      </c>
      <c r="C92" s="1">
        <f t="shared" si="7"/>
        <v>3670.0423377585039</v>
      </c>
      <c r="D92" s="1">
        <f t="shared" si="8"/>
        <v>6399.8725816390861</v>
      </c>
      <c r="E92" s="1">
        <f t="shared" si="9"/>
        <v>1020309.5707244955</v>
      </c>
    </row>
    <row r="93" spans="1:5">
      <c r="A93">
        <f t="shared" si="5"/>
        <v>80</v>
      </c>
      <c r="B93" s="1">
        <f t="shared" si="6"/>
        <v>10069.91491939759</v>
      </c>
      <c r="C93" s="1">
        <f t="shared" si="7"/>
        <v>3692.9801023694936</v>
      </c>
      <c r="D93" s="1">
        <f t="shared" si="8"/>
        <v>6376.9348170280964</v>
      </c>
      <c r="E93" s="1">
        <f t="shared" si="9"/>
        <v>1016616.590622126</v>
      </c>
    </row>
    <row r="94" spans="1:5">
      <c r="A94">
        <f t="shared" si="5"/>
        <v>81</v>
      </c>
      <c r="B94" s="1">
        <f t="shared" si="6"/>
        <v>10069.91491939759</v>
      </c>
      <c r="C94" s="1">
        <f t="shared" si="7"/>
        <v>3716.0612280093028</v>
      </c>
      <c r="D94" s="1">
        <f t="shared" si="8"/>
        <v>6353.8536913882872</v>
      </c>
      <c r="E94" s="1">
        <f t="shared" si="9"/>
        <v>1012900.5293941167</v>
      </c>
    </row>
    <row r="95" spans="1:5">
      <c r="A95">
        <f t="shared" si="5"/>
        <v>82</v>
      </c>
      <c r="B95" s="1">
        <f t="shared" si="6"/>
        <v>10069.91491939759</v>
      </c>
      <c r="C95" s="1">
        <f t="shared" si="7"/>
        <v>3739.2866106843612</v>
      </c>
      <c r="D95" s="1">
        <f t="shared" si="8"/>
        <v>6330.6283087132288</v>
      </c>
      <c r="E95" s="1">
        <f t="shared" si="9"/>
        <v>1009161.2427834324</v>
      </c>
    </row>
    <row r="96" spans="1:5">
      <c r="A96">
        <f t="shared" si="5"/>
        <v>83</v>
      </c>
      <c r="B96" s="1">
        <f t="shared" si="6"/>
        <v>10069.91491939759</v>
      </c>
      <c r="C96" s="1">
        <f t="shared" si="7"/>
        <v>3762.6571520011385</v>
      </c>
      <c r="D96" s="1">
        <f t="shared" si="8"/>
        <v>6307.2577673964515</v>
      </c>
      <c r="E96" s="1">
        <f t="shared" si="9"/>
        <v>1005398.5856314312</v>
      </c>
    </row>
    <row r="97" spans="1:5">
      <c r="A97">
        <f t="shared" si="5"/>
        <v>84</v>
      </c>
      <c r="B97" s="1">
        <f t="shared" si="6"/>
        <v>10069.91491939759</v>
      </c>
      <c r="C97" s="1">
        <f t="shared" si="7"/>
        <v>3786.1737592011459</v>
      </c>
      <c r="D97" s="1">
        <f t="shared" si="8"/>
        <v>6283.7411601964441</v>
      </c>
      <c r="E97" s="1">
        <f t="shared" si="9"/>
        <v>1001612.41187223</v>
      </c>
    </row>
    <row r="98" spans="1:5">
      <c r="A98">
        <f t="shared" si="5"/>
        <v>85</v>
      </c>
      <c r="B98" s="1">
        <f t="shared" si="6"/>
        <v>10069.91491939759</v>
      </c>
      <c r="C98" s="1">
        <f t="shared" si="7"/>
        <v>3809.8373451961534</v>
      </c>
      <c r="D98" s="1">
        <f t="shared" si="8"/>
        <v>6260.0775742014366</v>
      </c>
      <c r="E98" s="1">
        <f t="shared" si="9"/>
        <v>997802.57452703384</v>
      </c>
    </row>
    <row r="99" spans="1:5">
      <c r="A99">
        <f t="shared" si="5"/>
        <v>86</v>
      </c>
      <c r="B99" s="1">
        <f t="shared" si="6"/>
        <v>10069.91491939759</v>
      </c>
      <c r="C99" s="1">
        <f t="shared" si="7"/>
        <v>3833.6488286036292</v>
      </c>
      <c r="D99" s="1">
        <f t="shared" si="8"/>
        <v>6236.2660907939608</v>
      </c>
      <c r="E99" s="1">
        <f t="shared" si="9"/>
        <v>993968.92569843016</v>
      </c>
    </row>
    <row r="100" spans="1:5">
      <c r="A100">
        <f t="shared" si="5"/>
        <v>87</v>
      </c>
      <c r="B100" s="1">
        <f t="shared" si="6"/>
        <v>10069.91491939759</v>
      </c>
      <c r="C100" s="1">
        <f t="shared" si="7"/>
        <v>3857.6091337824018</v>
      </c>
      <c r="D100" s="1">
        <f t="shared" si="8"/>
        <v>6212.3057856151881</v>
      </c>
      <c r="E100" s="1">
        <f t="shared" si="9"/>
        <v>990111.31656464771</v>
      </c>
    </row>
    <row r="101" spans="1:5">
      <c r="A101">
        <f t="shared" si="5"/>
        <v>88</v>
      </c>
      <c r="B101" s="1">
        <f t="shared" si="6"/>
        <v>10069.91491939759</v>
      </c>
      <c r="C101" s="1">
        <f t="shared" si="7"/>
        <v>3881.7191908685427</v>
      </c>
      <c r="D101" s="1">
        <f t="shared" si="8"/>
        <v>6188.1957285290473</v>
      </c>
      <c r="E101" s="1">
        <f t="shared" si="9"/>
        <v>986229.59737377916</v>
      </c>
    </row>
    <row r="102" spans="1:5">
      <c r="A102">
        <f t="shared" si="5"/>
        <v>89</v>
      </c>
      <c r="B102" s="1">
        <f t="shared" si="6"/>
        <v>10069.91491939759</v>
      </c>
      <c r="C102" s="1">
        <f t="shared" si="7"/>
        <v>3905.9799358114706</v>
      </c>
      <c r="D102" s="1">
        <f t="shared" si="8"/>
        <v>6163.9349835861194</v>
      </c>
      <c r="E102" s="1">
        <f t="shared" si="9"/>
        <v>982323.61743796768</v>
      </c>
    </row>
    <row r="103" spans="1:5">
      <c r="A103">
        <f t="shared" si="5"/>
        <v>90</v>
      </c>
      <c r="B103" s="1">
        <f t="shared" si="6"/>
        <v>10069.91491939759</v>
      </c>
      <c r="C103" s="1">
        <f t="shared" si="7"/>
        <v>3930.3923104102923</v>
      </c>
      <c r="D103" s="1">
        <f t="shared" si="8"/>
        <v>6139.5226089872976</v>
      </c>
      <c r="E103" s="1">
        <f t="shared" si="9"/>
        <v>978393.22512755741</v>
      </c>
    </row>
    <row r="104" spans="1:5">
      <c r="A104">
        <f t="shared" si="5"/>
        <v>91</v>
      </c>
      <c r="B104" s="1">
        <f t="shared" si="6"/>
        <v>10069.91491939759</v>
      </c>
      <c r="C104" s="1">
        <f t="shared" si="7"/>
        <v>3954.9572623503564</v>
      </c>
      <c r="D104" s="1">
        <f t="shared" si="8"/>
        <v>6114.9576570472336</v>
      </c>
      <c r="E104" s="1">
        <f t="shared" si="9"/>
        <v>974438.26786520705</v>
      </c>
    </row>
    <row r="105" spans="1:5">
      <c r="A105">
        <f t="shared" si="5"/>
        <v>92</v>
      </c>
      <c r="B105" s="1">
        <f t="shared" si="6"/>
        <v>10069.91491939759</v>
      </c>
      <c r="C105" s="1">
        <f t="shared" si="7"/>
        <v>3979.6757452400461</v>
      </c>
      <c r="D105" s="1">
        <f t="shared" si="8"/>
        <v>6090.2391741575439</v>
      </c>
      <c r="E105" s="1">
        <f t="shared" si="9"/>
        <v>970458.59211996698</v>
      </c>
    </row>
    <row r="106" spans="1:5">
      <c r="A106">
        <f t="shared" si="5"/>
        <v>93</v>
      </c>
      <c r="B106" s="1">
        <f t="shared" si="6"/>
        <v>10069.91491939759</v>
      </c>
      <c r="C106" s="1">
        <f t="shared" si="7"/>
        <v>4004.5487186477967</v>
      </c>
      <c r="D106" s="1">
        <f t="shared" si="8"/>
        <v>6065.3662007497933</v>
      </c>
      <c r="E106" s="1">
        <f t="shared" si="9"/>
        <v>966454.04340131918</v>
      </c>
    </row>
    <row r="107" spans="1:5">
      <c r="A107">
        <f t="shared" si="5"/>
        <v>94</v>
      </c>
      <c r="B107" s="1">
        <f t="shared" si="6"/>
        <v>10069.91491939759</v>
      </c>
      <c r="C107" s="1">
        <f t="shared" si="7"/>
        <v>4029.5771481393458</v>
      </c>
      <c r="D107" s="1">
        <f t="shared" si="8"/>
        <v>6040.3377712582442</v>
      </c>
      <c r="E107" s="1">
        <f t="shared" si="9"/>
        <v>962424.46625317982</v>
      </c>
    </row>
    <row r="108" spans="1:5">
      <c r="A108">
        <f t="shared" si="5"/>
        <v>95</v>
      </c>
      <c r="B108" s="1">
        <f t="shared" si="6"/>
        <v>10069.91491939759</v>
      </c>
      <c r="C108" s="1">
        <f t="shared" si="7"/>
        <v>4054.7620053152168</v>
      </c>
      <c r="D108" s="1">
        <f t="shared" si="8"/>
        <v>6015.1529140823732</v>
      </c>
      <c r="E108" s="1">
        <f t="shared" si="9"/>
        <v>958369.70424786466</v>
      </c>
    </row>
    <row r="109" spans="1:5">
      <c r="A109">
        <f t="shared" si="5"/>
        <v>96</v>
      </c>
      <c r="B109" s="1">
        <f t="shared" si="6"/>
        <v>10069.91491939759</v>
      </c>
      <c r="C109" s="1">
        <f t="shared" si="7"/>
        <v>4080.1042678484364</v>
      </c>
      <c r="D109" s="1">
        <f t="shared" si="8"/>
        <v>5989.8106515491536</v>
      </c>
      <c r="E109" s="1">
        <f t="shared" si="9"/>
        <v>954289.59998001624</v>
      </c>
    </row>
    <row r="110" spans="1:5">
      <c r="A110">
        <f t="shared" si="5"/>
        <v>97</v>
      </c>
      <c r="B110" s="1">
        <f t="shared" si="6"/>
        <v>10069.91491939759</v>
      </c>
      <c r="C110" s="1">
        <f t="shared" si="7"/>
        <v>4105.6049195224887</v>
      </c>
      <c r="D110" s="1">
        <f t="shared" si="8"/>
        <v>5964.3099998751013</v>
      </c>
      <c r="E110" s="1">
        <f t="shared" si="9"/>
        <v>950183.9950604937</v>
      </c>
    </row>
    <row r="111" spans="1:5">
      <c r="A111">
        <f t="shared" si="5"/>
        <v>98</v>
      </c>
      <c r="B111" s="1">
        <f t="shared" si="6"/>
        <v>10069.91491939759</v>
      </c>
      <c r="C111" s="1">
        <f t="shared" si="7"/>
        <v>4131.2649502695049</v>
      </c>
      <c r="D111" s="1">
        <f t="shared" si="8"/>
        <v>5938.6499691280851</v>
      </c>
      <c r="E111" s="1">
        <f t="shared" si="9"/>
        <v>946052.73011022422</v>
      </c>
    </row>
    <row r="112" spans="1:5">
      <c r="A112">
        <f t="shared" si="5"/>
        <v>99</v>
      </c>
      <c r="B112" s="1">
        <f t="shared" si="6"/>
        <v>10069.91491939759</v>
      </c>
      <c r="C112" s="1">
        <f t="shared" si="7"/>
        <v>4157.0853562086895</v>
      </c>
      <c r="D112" s="1">
        <f t="shared" si="8"/>
        <v>5912.8295631889005</v>
      </c>
      <c r="E112" s="1">
        <f t="shared" si="9"/>
        <v>941895.64475401549</v>
      </c>
    </row>
    <row r="113" spans="1:5">
      <c r="A113">
        <f t="shared" si="5"/>
        <v>100</v>
      </c>
      <c r="B113" s="1">
        <f t="shared" si="6"/>
        <v>10069.91491939759</v>
      </c>
      <c r="C113" s="1">
        <f t="shared" si="7"/>
        <v>4183.0671396849939</v>
      </c>
      <c r="D113" s="1">
        <f t="shared" si="8"/>
        <v>5886.8477797125961</v>
      </c>
      <c r="E113" s="1">
        <f t="shared" si="9"/>
        <v>937712.57761433045</v>
      </c>
    </row>
    <row r="114" spans="1:5">
      <c r="A114">
        <f t="shared" si="5"/>
        <v>101</v>
      </c>
      <c r="B114" s="1">
        <f t="shared" si="6"/>
        <v>10069.91491939759</v>
      </c>
      <c r="C114" s="1">
        <f t="shared" si="7"/>
        <v>4209.2113093080252</v>
      </c>
      <c r="D114" s="1">
        <f t="shared" si="8"/>
        <v>5860.7036100895648</v>
      </c>
      <c r="E114" s="1">
        <f t="shared" si="9"/>
        <v>933503.36630502238</v>
      </c>
    </row>
    <row r="115" spans="1:5">
      <c r="A115">
        <f t="shared" si="5"/>
        <v>102</v>
      </c>
      <c r="B115" s="1">
        <f t="shared" si="6"/>
        <v>10069.91491939759</v>
      </c>
      <c r="C115" s="1">
        <f t="shared" si="7"/>
        <v>4235.5188799912003</v>
      </c>
      <c r="D115" s="1">
        <f t="shared" si="8"/>
        <v>5834.3960394063897</v>
      </c>
      <c r="E115" s="1">
        <f t="shared" si="9"/>
        <v>929267.84742503113</v>
      </c>
    </row>
    <row r="116" spans="1:5">
      <c r="A116">
        <f t="shared" si="5"/>
        <v>103</v>
      </c>
      <c r="B116" s="1">
        <f t="shared" si="6"/>
        <v>10069.91491939759</v>
      </c>
      <c r="C116" s="1">
        <f t="shared" si="7"/>
        <v>4261.9908729911458</v>
      </c>
      <c r="D116" s="1">
        <f t="shared" si="8"/>
        <v>5807.9240464064442</v>
      </c>
      <c r="E116" s="1">
        <f t="shared" si="9"/>
        <v>925005.85655203997</v>
      </c>
    </row>
    <row r="117" spans="1:5">
      <c r="A117">
        <f t="shared" si="5"/>
        <v>104</v>
      </c>
      <c r="B117" s="1">
        <f t="shared" si="6"/>
        <v>10069.91491939759</v>
      </c>
      <c r="C117" s="1">
        <f t="shared" si="7"/>
        <v>4288.6283159473405</v>
      </c>
      <c r="D117" s="1">
        <f t="shared" si="8"/>
        <v>5781.2866034502495</v>
      </c>
      <c r="E117" s="1">
        <f t="shared" si="9"/>
        <v>920717.2282360926</v>
      </c>
    </row>
    <row r="118" spans="1:5">
      <c r="A118">
        <f t="shared" si="5"/>
        <v>105</v>
      </c>
      <c r="B118" s="1">
        <f t="shared" si="6"/>
        <v>10069.91491939759</v>
      </c>
      <c r="C118" s="1">
        <f t="shared" si="7"/>
        <v>4315.4322429220119</v>
      </c>
      <c r="D118" s="1">
        <f t="shared" si="8"/>
        <v>5754.482676475578</v>
      </c>
      <c r="E118" s="1">
        <f t="shared" si="9"/>
        <v>916401.79599317058</v>
      </c>
    </row>
    <row r="119" spans="1:5">
      <c r="A119">
        <f t="shared" si="5"/>
        <v>106</v>
      </c>
      <c r="B119" s="1">
        <f t="shared" si="6"/>
        <v>10069.91491939759</v>
      </c>
      <c r="C119" s="1">
        <f t="shared" si="7"/>
        <v>4342.4036944402742</v>
      </c>
      <c r="D119" s="1">
        <f t="shared" si="8"/>
        <v>5727.5112249573158</v>
      </c>
      <c r="E119" s="1">
        <f t="shared" si="9"/>
        <v>912059.39229873032</v>
      </c>
    </row>
    <row r="120" spans="1:5">
      <c r="A120">
        <f t="shared" si="5"/>
        <v>107</v>
      </c>
      <c r="B120" s="1">
        <f t="shared" si="6"/>
        <v>10069.91491939759</v>
      </c>
      <c r="C120" s="1">
        <f t="shared" si="7"/>
        <v>4369.543717530526</v>
      </c>
      <c r="D120" s="1">
        <f t="shared" si="8"/>
        <v>5700.371201867064</v>
      </c>
      <c r="E120" s="1">
        <f t="shared" si="9"/>
        <v>907689.84858119977</v>
      </c>
    </row>
    <row r="121" spans="1:5">
      <c r="A121">
        <f t="shared" si="5"/>
        <v>108</v>
      </c>
      <c r="B121" s="1">
        <f t="shared" si="6"/>
        <v>10069.91491939759</v>
      </c>
      <c r="C121" s="1">
        <f t="shared" si="7"/>
        <v>4396.8533657650923</v>
      </c>
      <c r="D121" s="1">
        <f t="shared" si="8"/>
        <v>5673.0615536324976</v>
      </c>
      <c r="E121" s="1">
        <f t="shared" si="9"/>
        <v>903292.9952154347</v>
      </c>
    </row>
    <row r="122" spans="1:5">
      <c r="A122">
        <f t="shared" si="5"/>
        <v>109</v>
      </c>
      <c r="B122" s="1">
        <f t="shared" si="6"/>
        <v>10069.91491939759</v>
      </c>
      <c r="C122" s="1">
        <f t="shared" si="7"/>
        <v>4424.3336993011235</v>
      </c>
      <c r="D122" s="1">
        <f t="shared" si="8"/>
        <v>5645.5812200964665</v>
      </c>
      <c r="E122" s="1">
        <f t="shared" si="9"/>
        <v>898868.66151613358</v>
      </c>
    </row>
    <row r="123" spans="1:5">
      <c r="A123">
        <f t="shared" si="5"/>
        <v>110</v>
      </c>
      <c r="B123" s="1">
        <f t="shared" si="6"/>
        <v>10069.91491939759</v>
      </c>
      <c r="C123" s="1">
        <f t="shared" si="7"/>
        <v>4451.985784921756</v>
      </c>
      <c r="D123" s="1">
        <f t="shared" si="8"/>
        <v>5617.929134475834</v>
      </c>
      <c r="E123" s="1">
        <f t="shared" si="9"/>
        <v>894416.67573121178</v>
      </c>
    </row>
    <row r="124" spans="1:5">
      <c r="A124">
        <f t="shared" si="5"/>
        <v>111</v>
      </c>
      <c r="B124" s="1">
        <f t="shared" si="6"/>
        <v>10069.91491939759</v>
      </c>
      <c r="C124" s="1">
        <f t="shared" si="7"/>
        <v>4479.8106960775167</v>
      </c>
      <c r="D124" s="1">
        <f t="shared" si="8"/>
        <v>5590.1042233200733</v>
      </c>
      <c r="E124" s="1">
        <f t="shared" si="9"/>
        <v>889936.86503513425</v>
      </c>
    </row>
    <row r="125" spans="1:5">
      <c r="A125">
        <f t="shared" si="5"/>
        <v>112</v>
      </c>
      <c r="B125" s="1">
        <f t="shared" si="6"/>
        <v>10069.91491939759</v>
      </c>
      <c r="C125" s="1">
        <f t="shared" si="7"/>
        <v>4507.8095129280018</v>
      </c>
      <c r="D125" s="1">
        <f t="shared" si="8"/>
        <v>5562.1054064695882</v>
      </c>
      <c r="E125" s="1">
        <f t="shared" si="9"/>
        <v>885429.05552220624</v>
      </c>
    </row>
    <row r="126" spans="1:5">
      <c r="A126">
        <f t="shared" si="5"/>
        <v>113</v>
      </c>
      <c r="B126" s="1">
        <f t="shared" si="6"/>
        <v>10069.91491939759</v>
      </c>
      <c r="C126" s="1">
        <f t="shared" si="7"/>
        <v>4535.9833223838014</v>
      </c>
      <c r="D126" s="1">
        <f t="shared" si="8"/>
        <v>5533.9315970137886</v>
      </c>
      <c r="E126" s="1">
        <f t="shared" si="9"/>
        <v>880893.0721998224</v>
      </c>
    </row>
    <row r="127" spans="1:5">
      <c r="A127">
        <f t="shared" si="5"/>
        <v>114</v>
      </c>
      <c r="B127" s="1">
        <f t="shared" si="6"/>
        <v>10069.91491939759</v>
      </c>
      <c r="C127" s="1">
        <f t="shared" si="7"/>
        <v>4564.3332181487003</v>
      </c>
      <c r="D127" s="1">
        <f t="shared" si="8"/>
        <v>5505.5817012488897</v>
      </c>
      <c r="E127" s="1">
        <f t="shared" si="9"/>
        <v>876328.73898167373</v>
      </c>
    </row>
    <row r="128" spans="1:5">
      <c r="A128">
        <f t="shared" si="5"/>
        <v>115</v>
      </c>
      <c r="B128" s="1">
        <f t="shared" si="6"/>
        <v>10069.91491939759</v>
      </c>
      <c r="C128" s="1">
        <f t="shared" si="7"/>
        <v>4592.8603007621296</v>
      </c>
      <c r="D128" s="1">
        <f t="shared" si="8"/>
        <v>5477.0546186354604</v>
      </c>
      <c r="E128" s="1">
        <f t="shared" si="9"/>
        <v>871735.87868091161</v>
      </c>
    </row>
    <row r="129" spans="1:5">
      <c r="A129">
        <f t="shared" si="5"/>
        <v>116</v>
      </c>
      <c r="B129" s="1">
        <f t="shared" si="6"/>
        <v>10069.91491939759</v>
      </c>
      <c r="C129" s="1">
        <f t="shared" si="7"/>
        <v>4621.5656776418928</v>
      </c>
      <c r="D129" s="1">
        <f t="shared" si="8"/>
        <v>5448.3492417556972</v>
      </c>
      <c r="E129" s="1">
        <f t="shared" si="9"/>
        <v>867114.31300326972</v>
      </c>
    </row>
    <row r="130" spans="1:5">
      <c r="A130">
        <f t="shared" si="5"/>
        <v>117</v>
      </c>
      <c r="B130" s="1">
        <f t="shared" si="6"/>
        <v>10069.91491939759</v>
      </c>
      <c r="C130" s="1">
        <f t="shared" si="7"/>
        <v>4650.4504631271548</v>
      </c>
      <c r="D130" s="1">
        <f t="shared" si="8"/>
        <v>5419.4644562704352</v>
      </c>
      <c r="E130" s="1">
        <f t="shared" si="9"/>
        <v>862463.86254014261</v>
      </c>
    </row>
    <row r="131" spans="1:5">
      <c r="A131">
        <f t="shared" si="5"/>
        <v>118</v>
      </c>
      <c r="B131" s="1">
        <f t="shared" si="6"/>
        <v>10069.91491939759</v>
      </c>
      <c r="C131" s="1">
        <f t="shared" si="7"/>
        <v>4679.5157785216988</v>
      </c>
      <c r="D131" s="1">
        <f t="shared" si="8"/>
        <v>5390.3991408758911</v>
      </c>
      <c r="E131" s="1">
        <f t="shared" si="9"/>
        <v>857784.34676162095</v>
      </c>
    </row>
    <row r="132" spans="1:5">
      <c r="A132">
        <f t="shared" si="5"/>
        <v>119</v>
      </c>
      <c r="B132" s="1">
        <f t="shared" si="6"/>
        <v>10069.91491939759</v>
      </c>
      <c r="C132" s="1">
        <f t="shared" si="7"/>
        <v>4708.7627521374598</v>
      </c>
      <c r="D132" s="1">
        <f t="shared" si="8"/>
        <v>5361.1521672601302</v>
      </c>
      <c r="E132" s="1">
        <f t="shared" si="9"/>
        <v>853075.58400948346</v>
      </c>
    </row>
    <row r="133" spans="1:5">
      <c r="A133">
        <f t="shared" si="5"/>
        <v>120</v>
      </c>
      <c r="B133" s="1">
        <f t="shared" si="6"/>
        <v>10069.91491939759</v>
      </c>
      <c r="C133" s="1">
        <f t="shared" si="7"/>
        <v>4738.1925193383186</v>
      </c>
      <c r="D133" s="1">
        <f t="shared" si="8"/>
        <v>5331.7224000592714</v>
      </c>
      <c r="E133" s="1">
        <f t="shared" si="9"/>
        <v>848337.39149014512</v>
      </c>
    </row>
    <row r="134" spans="1:5">
      <c r="A134">
        <f t="shared" si="5"/>
        <v>121</v>
      </c>
      <c r="B134" s="1">
        <f t="shared" si="6"/>
        <v>10069.91491939759</v>
      </c>
      <c r="C134" s="1">
        <f t="shared" si="7"/>
        <v>4767.8062225841832</v>
      </c>
      <c r="D134" s="1">
        <f t="shared" si="8"/>
        <v>5302.1086968134068</v>
      </c>
      <c r="E134" s="1">
        <f t="shared" si="9"/>
        <v>843569.58526756091</v>
      </c>
    </row>
    <row r="135" spans="1:5">
      <c r="A135">
        <f t="shared" si="5"/>
        <v>122</v>
      </c>
      <c r="B135" s="1">
        <f t="shared" si="6"/>
        <v>10069.91491939759</v>
      </c>
      <c r="C135" s="1">
        <f t="shared" si="7"/>
        <v>4797.6050114753343</v>
      </c>
      <c r="D135" s="1">
        <f t="shared" si="8"/>
        <v>5272.3099079222557</v>
      </c>
      <c r="E135" s="1">
        <f t="shared" si="9"/>
        <v>838771.98025608552</v>
      </c>
    </row>
    <row r="136" spans="1:5">
      <c r="A136">
        <f t="shared" si="5"/>
        <v>123</v>
      </c>
      <c r="B136" s="1">
        <f t="shared" si="6"/>
        <v>10069.91491939759</v>
      </c>
      <c r="C136" s="1">
        <f t="shared" si="7"/>
        <v>4827.5900427970555</v>
      </c>
      <c r="D136" s="1">
        <f t="shared" si="8"/>
        <v>5242.3248766005345</v>
      </c>
      <c r="E136" s="1">
        <f t="shared" si="9"/>
        <v>833944.39021328848</v>
      </c>
    </row>
    <row r="137" spans="1:5">
      <c r="A137">
        <f t="shared" si="5"/>
        <v>124</v>
      </c>
      <c r="B137" s="1">
        <f t="shared" si="6"/>
        <v>10069.91491939759</v>
      </c>
      <c r="C137" s="1">
        <f t="shared" si="7"/>
        <v>4857.7624805645373</v>
      </c>
      <c r="D137" s="1">
        <f t="shared" si="8"/>
        <v>5212.1524388330527</v>
      </c>
      <c r="E137" s="1">
        <f t="shared" si="9"/>
        <v>829086.62773272395</v>
      </c>
    </row>
    <row r="138" spans="1:5">
      <c r="A138">
        <f t="shared" si="5"/>
        <v>125</v>
      </c>
      <c r="B138" s="1">
        <f t="shared" si="6"/>
        <v>10069.91491939759</v>
      </c>
      <c r="C138" s="1">
        <f t="shared" si="7"/>
        <v>4888.1234960680658</v>
      </c>
      <c r="D138" s="1">
        <f t="shared" si="8"/>
        <v>5181.7914233295242</v>
      </c>
      <c r="E138" s="1">
        <f t="shared" si="9"/>
        <v>824198.50423665589</v>
      </c>
    </row>
    <row r="139" spans="1:5">
      <c r="A139">
        <f t="shared" si="5"/>
        <v>126</v>
      </c>
      <c r="B139" s="1">
        <f t="shared" si="6"/>
        <v>10069.91491939759</v>
      </c>
      <c r="C139" s="1">
        <f t="shared" si="7"/>
        <v>4918.6742679184908</v>
      </c>
      <c r="D139" s="1">
        <f t="shared" si="8"/>
        <v>5151.2406514790991</v>
      </c>
      <c r="E139" s="1">
        <f t="shared" si="9"/>
        <v>819279.82996873744</v>
      </c>
    </row>
    <row r="140" spans="1:5">
      <c r="A140">
        <f t="shared" si="5"/>
        <v>127</v>
      </c>
      <c r="B140" s="1">
        <f t="shared" si="6"/>
        <v>10069.91491939759</v>
      </c>
      <c r="C140" s="1">
        <f t="shared" si="7"/>
        <v>4949.4159820929817</v>
      </c>
      <c r="D140" s="1">
        <f t="shared" si="8"/>
        <v>5120.4989373046083</v>
      </c>
      <c r="E140" s="1">
        <f t="shared" si="9"/>
        <v>814330.41398664447</v>
      </c>
    </row>
    <row r="141" spans="1:5">
      <c r="A141">
        <f t="shared" si="5"/>
        <v>128</v>
      </c>
      <c r="B141" s="1">
        <f t="shared" si="6"/>
        <v>10069.91491939759</v>
      </c>
      <c r="C141" s="1">
        <f t="shared" si="7"/>
        <v>4980.3498319810624</v>
      </c>
      <c r="D141" s="1">
        <f t="shared" si="8"/>
        <v>5089.5650874165276</v>
      </c>
      <c r="E141" s="1">
        <f t="shared" si="9"/>
        <v>809350.06415466336</v>
      </c>
    </row>
    <row r="142" spans="1:5">
      <c r="A142">
        <f t="shared" si="5"/>
        <v>129</v>
      </c>
      <c r="B142" s="1">
        <f t="shared" si="6"/>
        <v>10069.91491939759</v>
      </c>
      <c r="C142" s="1">
        <f t="shared" si="7"/>
        <v>5011.4770184309446</v>
      </c>
      <c r="D142" s="1">
        <f t="shared" si="8"/>
        <v>5058.4379009666454</v>
      </c>
      <c r="E142" s="1">
        <f t="shared" si="9"/>
        <v>804338.58713623241</v>
      </c>
    </row>
    <row r="143" spans="1:5">
      <c r="A143">
        <f t="shared" si="5"/>
        <v>130</v>
      </c>
      <c r="B143" s="1">
        <f t="shared" si="6"/>
        <v>10069.91491939759</v>
      </c>
      <c r="C143" s="1">
        <f t="shared" si="7"/>
        <v>5042.7987497961376</v>
      </c>
      <c r="D143" s="1">
        <f t="shared" si="8"/>
        <v>5027.1161696014524</v>
      </c>
      <c r="E143" s="1">
        <f t="shared" si="9"/>
        <v>799295.7883864363</v>
      </c>
    </row>
    <row r="144" spans="1:5">
      <c r="A144">
        <f t="shared" ref="A144:A178" si="10">IF(($B$7*$B$8&gt;A143),IF(($B$7*$B$8)=A143,"",A143+1),"")</f>
        <v>131</v>
      </c>
      <c r="B144" s="1">
        <f t="shared" ref="B144:B207" si="11">IF(A144="","",$B$14)</f>
        <v>10069.91491939759</v>
      </c>
      <c r="C144" s="1">
        <f t="shared" ref="C144:C178" si="12">IF(A144="","",B144-D144)</f>
        <v>5074.3162419823639</v>
      </c>
      <c r="D144" s="1">
        <f t="shared" ref="D144:D178" si="13">IF(A144="","",(E143*($B$6/$B$8)))</f>
        <v>4995.5986774152261</v>
      </c>
      <c r="E144" s="1">
        <f t="shared" ref="E144:E178" si="14">IF(A144="","",E143-C144)</f>
        <v>794221.4721444539</v>
      </c>
    </row>
    <row r="145" spans="1:5">
      <c r="A145">
        <f t="shared" si="10"/>
        <v>132</v>
      </c>
      <c r="B145" s="1">
        <f t="shared" si="11"/>
        <v>10069.91491939759</v>
      </c>
      <c r="C145" s="1">
        <f t="shared" si="12"/>
        <v>5106.0307184947533</v>
      </c>
      <c r="D145" s="1">
        <f t="shared" si="13"/>
        <v>4963.8842009028367</v>
      </c>
      <c r="E145" s="1">
        <f t="shared" si="14"/>
        <v>789115.44142595911</v>
      </c>
    </row>
    <row r="146" spans="1:5">
      <c r="A146">
        <f t="shared" si="10"/>
        <v>133</v>
      </c>
      <c r="B146" s="1">
        <f t="shared" si="11"/>
        <v>10069.91491939759</v>
      </c>
      <c r="C146" s="1">
        <f t="shared" si="12"/>
        <v>5137.9434104853462</v>
      </c>
      <c r="D146" s="1">
        <f t="shared" si="13"/>
        <v>4931.9715089122437</v>
      </c>
      <c r="E146" s="1">
        <f t="shared" si="14"/>
        <v>783977.49801547371</v>
      </c>
    </row>
    <row r="147" spans="1:5">
      <c r="A147">
        <f t="shared" si="10"/>
        <v>134</v>
      </c>
      <c r="B147" s="1">
        <f t="shared" si="11"/>
        <v>10069.91491939759</v>
      </c>
      <c r="C147" s="1">
        <f t="shared" si="12"/>
        <v>5170.0555568008795</v>
      </c>
      <c r="D147" s="1">
        <f t="shared" si="13"/>
        <v>4899.8593625967105</v>
      </c>
      <c r="E147" s="1">
        <f t="shared" si="14"/>
        <v>778807.4424586728</v>
      </c>
    </row>
    <row r="148" spans="1:5">
      <c r="A148">
        <f t="shared" si="10"/>
        <v>135</v>
      </c>
      <c r="B148" s="1">
        <f t="shared" si="11"/>
        <v>10069.91491939759</v>
      </c>
      <c r="C148" s="1">
        <f t="shared" si="12"/>
        <v>5202.3684040308854</v>
      </c>
      <c r="D148" s="1">
        <f t="shared" si="13"/>
        <v>4867.5465153667046</v>
      </c>
      <c r="E148" s="1">
        <f t="shared" si="14"/>
        <v>773605.07405464188</v>
      </c>
    </row>
    <row r="149" spans="1:5">
      <c r="A149">
        <f t="shared" si="10"/>
        <v>136</v>
      </c>
      <c r="B149" s="1">
        <f t="shared" si="11"/>
        <v>10069.91491939759</v>
      </c>
      <c r="C149" s="1">
        <f t="shared" si="12"/>
        <v>5234.8832065560782</v>
      </c>
      <c r="D149" s="1">
        <f t="shared" si="13"/>
        <v>4835.0317128415118</v>
      </c>
      <c r="E149" s="1">
        <f t="shared" si="14"/>
        <v>768370.1908480858</v>
      </c>
    </row>
    <row r="150" spans="1:5">
      <c r="A150">
        <f t="shared" si="10"/>
        <v>137</v>
      </c>
      <c r="B150" s="1">
        <f t="shared" si="11"/>
        <v>10069.91491939759</v>
      </c>
      <c r="C150" s="1">
        <f t="shared" si="12"/>
        <v>5267.6012265970539</v>
      </c>
      <c r="D150" s="1">
        <f t="shared" si="13"/>
        <v>4802.313692800536</v>
      </c>
      <c r="E150" s="1">
        <f t="shared" si="14"/>
        <v>763102.5896214887</v>
      </c>
    </row>
    <row r="151" spans="1:5">
      <c r="A151">
        <f t="shared" si="10"/>
        <v>138</v>
      </c>
      <c r="B151" s="1">
        <f t="shared" si="11"/>
        <v>10069.91491939759</v>
      </c>
      <c r="C151" s="1">
        <f t="shared" si="12"/>
        <v>5300.5237342632863</v>
      </c>
      <c r="D151" s="1">
        <f t="shared" si="13"/>
        <v>4769.3911851343037</v>
      </c>
      <c r="E151" s="1">
        <f t="shared" si="14"/>
        <v>757802.06588722544</v>
      </c>
    </row>
    <row r="152" spans="1:5">
      <c r="A152">
        <f t="shared" si="10"/>
        <v>139</v>
      </c>
      <c r="B152" s="1">
        <f t="shared" si="11"/>
        <v>10069.91491939759</v>
      </c>
      <c r="C152" s="1">
        <f t="shared" si="12"/>
        <v>5333.6520076024317</v>
      </c>
      <c r="D152" s="1">
        <f t="shared" si="13"/>
        <v>4736.2629117951583</v>
      </c>
      <c r="E152" s="1">
        <f t="shared" si="14"/>
        <v>752468.41387962305</v>
      </c>
    </row>
    <row r="153" spans="1:5">
      <c r="A153">
        <f t="shared" si="10"/>
        <v>140</v>
      </c>
      <c r="B153" s="1">
        <f t="shared" si="11"/>
        <v>10069.91491939759</v>
      </c>
      <c r="C153" s="1">
        <f t="shared" si="12"/>
        <v>5366.9873326499464</v>
      </c>
      <c r="D153" s="1">
        <f t="shared" si="13"/>
        <v>4702.9275867476435</v>
      </c>
      <c r="E153" s="1">
        <f t="shared" si="14"/>
        <v>747101.42654697306</v>
      </c>
    </row>
    <row r="154" spans="1:5">
      <c r="A154">
        <f t="shared" si="10"/>
        <v>141</v>
      </c>
      <c r="B154" s="1">
        <f t="shared" si="11"/>
        <v>10069.91491939759</v>
      </c>
      <c r="C154" s="1">
        <f t="shared" si="12"/>
        <v>5400.5310034790091</v>
      </c>
      <c r="D154" s="1">
        <f t="shared" si="13"/>
        <v>4669.3839159185809</v>
      </c>
      <c r="E154" s="1">
        <f t="shared" si="14"/>
        <v>741700.89554349403</v>
      </c>
    </row>
    <row r="155" spans="1:5">
      <c r="A155">
        <f t="shared" si="10"/>
        <v>142</v>
      </c>
      <c r="B155" s="1">
        <f t="shared" si="11"/>
        <v>10069.91491939759</v>
      </c>
      <c r="C155" s="1">
        <f t="shared" si="12"/>
        <v>5434.2843222507527</v>
      </c>
      <c r="D155" s="1">
        <f t="shared" si="13"/>
        <v>4635.6305971468373</v>
      </c>
      <c r="E155" s="1">
        <f t="shared" si="14"/>
        <v>736266.61122124328</v>
      </c>
    </row>
    <row r="156" spans="1:5">
      <c r="A156">
        <f t="shared" si="10"/>
        <v>143</v>
      </c>
      <c r="B156" s="1">
        <f t="shared" si="11"/>
        <v>10069.91491939759</v>
      </c>
      <c r="C156" s="1">
        <f t="shared" si="12"/>
        <v>5468.2485992648199</v>
      </c>
      <c r="D156" s="1">
        <f t="shared" si="13"/>
        <v>4601.6663201327701</v>
      </c>
      <c r="E156" s="1">
        <f t="shared" si="14"/>
        <v>730798.36262197851</v>
      </c>
    </row>
    <row r="157" spans="1:5">
      <c r="A157">
        <f t="shared" si="10"/>
        <v>144</v>
      </c>
      <c r="B157" s="1">
        <f t="shared" si="11"/>
        <v>10069.91491939759</v>
      </c>
      <c r="C157" s="1">
        <f t="shared" si="12"/>
        <v>5502.4251530102247</v>
      </c>
      <c r="D157" s="1">
        <f t="shared" si="13"/>
        <v>4567.4897663873653</v>
      </c>
      <c r="E157" s="1">
        <f t="shared" si="14"/>
        <v>725295.93746896833</v>
      </c>
    </row>
    <row r="158" spans="1:5">
      <c r="A158">
        <f t="shared" si="10"/>
        <v>145</v>
      </c>
      <c r="B158" s="1">
        <f t="shared" si="11"/>
        <v>10069.91491939759</v>
      </c>
      <c r="C158" s="1">
        <f t="shared" si="12"/>
        <v>5536.8153102165379</v>
      </c>
      <c r="D158" s="1">
        <f t="shared" si="13"/>
        <v>4533.0996091810521</v>
      </c>
      <c r="E158" s="1">
        <f t="shared" si="14"/>
        <v>719759.12215875182</v>
      </c>
    </row>
    <row r="159" spans="1:5">
      <c r="A159">
        <f t="shared" si="10"/>
        <v>146</v>
      </c>
      <c r="B159" s="1">
        <f t="shared" si="11"/>
        <v>10069.91491939759</v>
      </c>
      <c r="C159" s="1">
        <f t="shared" si="12"/>
        <v>5571.4204059053918</v>
      </c>
      <c r="D159" s="1">
        <f t="shared" si="13"/>
        <v>4498.4945134921982</v>
      </c>
      <c r="E159" s="1">
        <f t="shared" si="14"/>
        <v>714187.70175284648</v>
      </c>
    </row>
    <row r="160" spans="1:5">
      <c r="A160">
        <f t="shared" si="10"/>
        <v>147</v>
      </c>
      <c r="B160" s="1">
        <f t="shared" si="11"/>
        <v>10069.91491939759</v>
      </c>
      <c r="C160" s="1">
        <f t="shared" si="12"/>
        <v>5606.2417834422995</v>
      </c>
      <c r="D160" s="1">
        <f t="shared" si="13"/>
        <v>4463.6731359552905</v>
      </c>
      <c r="E160" s="1">
        <f t="shared" si="14"/>
        <v>708581.45996940415</v>
      </c>
    </row>
    <row r="161" spans="1:5">
      <c r="A161">
        <f t="shared" si="10"/>
        <v>148</v>
      </c>
      <c r="B161" s="1">
        <f t="shared" si="11"/>
        <v>10069.91491939759</v>
      </c>
      <c r="C161" s="1">
        <f t="shared" si="12"/>
        <v>5641.2807945888144</v>
      </c>
      <c r="D161" s="1">
        <f t="shared" si="13"/>
        <v>4428.6341248087756</v>
      </c>
      <c r="E161" s="1">
        <f t="shared" si="14"/>
        <v>702940.1791748153</v>
      </c>
    </row>
    <row r="162" spans="1:5">
      <c r="A162">
        <f t="shared" si="10"/>
        <v>149</v>
      </c>
      <c r="B162" s="1">
        <f t="shared" si="11"/>
        <v>10069.91491939759</v>
      </c>
      <c r="C162" s="1">
        <f t="shared" si="12"/>
        <v>5676.5387995549945</v>
      </c>
      <c r="D162" s="1">
        <f t="shared" si="13"/>
        <v>4393.3761198425955</v>
      </c>
      <c r="E162" s="1">
        <f t="shared" si="14"/>
        <v>697263.64037526026</v>
      </c>
    </row>
    <row r="163" spans="1:5">
      <c r="A163">
        <f t="shared" si="10"/>
        <v>150</v>
      </c>
      <c r="B163" s="1">
        <f t="shared" si="11"/>
        <v>10069.91491939759</v>
      </c>
      <c r="C163" s="1">
        <f t="shared" si="12"/>
        <v>5712.0171670522141</v>
      </c>
      <c r="D163" s="1">
        <f t="shared" si="13"/>
        <v>4357.8977523453759</v>
      </c>
      <c r="E163" s="1">
        <f t="shared" si="14"/>
        <v>691551.62320820801</v>
      </c>
    </row>
    <row r="164" spans="1:5">
      <c r="A164">
        <f t="shared" si="10"/>
        <v>151</v>
      </c>
      <c r="B164" s="1">
        <f t="shared" si="11"/>
        <v>10069.91491939759</v>
      </c>
      <c r="C164" s="1">
        <f t="shared" si="12"/>
        <v>5747.7172743462907</v>
      </c>
      <c r="D164" s="1">
        <f t="shared" si="13"/>
        <v>4322.1976450512993</v>
      </c>
      <c r="E164" s="1">
        <f t="shared" si="14"/>
        <v>685803.90593386174</v>
      </c>
    </row>
    <row r="165" spans="1:5">
      <c r="A165">
        <f t="shared" si="10"/>
        <v>152</v>
      </c>
      <c r="B165" s="1">
        <f t="shared" si="11"/>
        <v>10069.91491939759</v>
      </c>
      <c r="C165" s="1">
        <f t="shared" si="12"/>
        <v>5783.6405073109545</v>
      </c>
      <c r="D165" s="1">
        <f t="shared" si="13"/>
        <v>4286.2744120866355</v>
      </c>
      <c r="E165" s="1">
        <f t="shared" si="14"/>
        <v>680020.26542655076</v>
      </c>
    </row>
    <row r="166" spans="1:5">
      <c r="A166">
        <f t="shared" si="10"/>
        <v>153</v>
      </c>
      <c r="B166" s="1">
        <f t="shared" si="11"/>
        <v>10069.91491939759</v>
      </c>
      <c r="C166" s="1">
        <f t="shared" si="12"/>
        <v>5819.7882604816477</v>
      </c>
      <c r="D166" s="1">
        <f t="shared" si="13"/>
        <v>4250.1266589159422</v>
      </c>
      <c r="E166" s="1">
        <f t="shared" si="14"/>
        <v>674200.47716606909</v>
      </c>
    </row>
    <row r="167" spans="1:5">
      <c r="A167">
        <f t="shared" si="10"/>
        <v>154</v>
      </c>
      <c r="B167" s="1">
        <f t="shared" si="11"/>
        <v>10069.91491939759</v>
      </c>
      <c r="C167" s="1">
        <f t="shared" si="12"/>
        <v>5856.1619371096585</v>
      </c>
      <c r="D167" s="1">
        <f t="shared" si="13"/>
        <v>4213.7529822879314</v>
      </c>
      <c r="E167" s="1">
        <f t="shared" si="14"/>
        <v>668344.31522895943</v>
      </c>
    </row>
    <row r="168" spans="1:5">
      <c r="A168">
        <f t="shared" si="10"/>
        <v>155</v>
      </c>
      <c r="B168" s="1">
        <f t="shared" si="11"/>
        <v>10069.91491939759</v>
      </c>
      <c r="C168" s="1">
        <f t="shared" si="12"/>
        <v>5892.7629492165943</v>
      </c>
      <c r="D168" s="1">
        <f t="shared" si="13"/>
        <v>4177.1519701809957</v>
      </c>
      <c r="E168" s="1">
        <f t="shared" si="14"/>
        <v>662451.55227974278</v>
      </c>
    </row>
    <row r="169" spans="1:5">
      <c r="A169">
        <f t="shared" si="10"/>
        <v>156</v>
      </c>
      <c r="B169" s="1">
        <f t="shared" si="11"/>
        <v>10069.91491939759</v>
      </c>
      <c r="C169" s="1">
        <f t="shared" si="12"/>
        <v>5929.5927176491978</v>
      </c>
      <c r="D169" s="1">
        <f t="shared" si="13"/>
        <v>4140.3222017483922</v>
      </c>
      <c r="E169" s="1">
        <f t="shared" si="14"/>
        <v>656521.9595620936</v>
      </c>
    </row>
    <row r="170" spans="1:5">
      <c r="A170">
        <f t="shared" si="10"/>
        <v>157</v>
      </c>
      <c r="B170" s="1">
        <f t="shared" si="11"/>
        <v>10069.91491939759</v>
      </c>
      <c r="C170" s="1">
        <f t="shared" si="12"/>
        <v>5966.6526721345053</v>
      </c>
      <c r="D170" s="1">
        <f t="shared" si="13"/>
        <v>4103.2622472630846</v>
      </c>
      <c r="E170" s="1">
        <f t="shared" si="14"/>
        <v>650555.30688995915</v>
      </c>
    </row>
    <row r="171" spans="1:5">
      <c r="A171">
        <f t="shared" si="10"/>
        <v>158</v>
      </c>
      <c r="B171" s="1">
        <f t="shared" si="11"/>
        <v>10069.91491939759</v>
      </c>
      <c r="C171" s="1">
        <f t="shared" si="12"/>
        <v>6003.9442513353461</v>
      </c>
      <c r="D171" s="1">
        <f t="shared" si="13"/>
        <v>4065.9706680622444</v>
      </c>
      <c r="E171" s="1">
        <f t="shared" si="14"/>
        <v>644551.3626386238</v>
      </c>
    </row>
    <row r="172" spans="1:5">
      <c r="A172">
        <f t="shared" si="10"/>
        <v>159</v>
      </c>
      <c r="B172" s="1">
        <f t="shared" si="11"/>
        <v>10069.91491939759</v>
      </c>
      <c r="C172" s="1">
        <f t="shared" si="12"/>
        <v>6041.4689029061919</v>
      </c>
      <c r="D172" s="1">
        <f t="shared" si="13"/>
        <v>4028.4460164913985</v>
      </c>
      <c r="E172" s="1">
        <f t="shared" si="14"/>
        <v>638509.89373571763</v>
      </c>
    </row>
    <row r="173" spans="1:5">
      <c r="A173">
        <f t="shared" si="10"/>
        <v>160</v>
      </c>
      <c r="B173" s="1">
        <f t="shared" si="11"/>
        <v>10069.91491939759</v>
      </c>
      <c r="C173" s="1">
        <f t="shared" si="12"/>
        <v>6079.2280835493548</v>
      </c>
      <c r="D173" s="1">
        <f t="shared" si="13"/>
        <v>3990.6868358482348</v>
      </c>
      <c r="E173" s="1">
        <f t="shared" si="14"/>
        <v>632430.66565216833</v>
      </c>
    </row>
    <row r="174" spans="1:5">
      <c r="A174">
        <f t="shared" si="10"/>
        <v>161</v>
      </c>
      <c r="B174" s="1">
        <f t="shared" si="11"/>
        <v>10069.91491939759</v>
      </c>
      <c r="C174" s="1">
        <f t="shared" si="12"/>
        <v>6117.2232590715385</v>
      </c>
      <c r="D174" s="1">
        <f t="shared" si="13"/>
        <v>3952.6916603260515</v>
      </c>
      <c r="E174" s="1">
        <f t="shared" si="14"/>
        <v>626313.44239309675</v>
      </c>
    </row>
    <row r="175" spans="1:5">
      <c r="A175">
        <f t="shared" si="10"/>
        <v>162</v>
      </c>
      <c r="B175" s="1">
        <f t="shared" si="11"/>
        <v>10069.91491939759</v>
      </c>
      <c r="C175" s="1">
        <f t="shared" si="12"/>
        <v>6155.455904440736</v>
      </c>
      <c r="D175" s="1">
        <f t="shared" si="13"/>
        <v>3914.4590149568544</v>
      </c>
      <c r="E175" s="1">
        <f t="shared" si="14"/>
        <v>620157.98648865602</v>
      </c>
    </row>
    <row r="176" spans="1:5">
      <c r="A176">
        <f t="shared" si="10"/>
        <v>163</v>
      </c>
      <c r="B176" s="1">
        <f t="shared" si="11"/>
        <v>10069.91491939759</v>
      </c>
      <c r="C176" s="1">
        <f t="shared" si="12"/>
        <v>6193.9275038434898</v>
      </c>
      <c r="D176" s="1">
        <f t="shared" si="13"/>
        <v>3875.9874155540997</v>
      </c>
      <c r="E176" s="1">
        <f t="shared" si="14"/>
        <v>613964.05898481258</v>
      </c>
    </row>
    <row r="177" spans="1:5">
      <c r="A177">
        <f t="shared" si="10"/>
        <v>164</v>
      </c>
      <c r="B177" s="1">
        <f t="shared" si="11"/>
        <v>10069.91491939759</v>
      </c>
      <c r="C177" s="1">
        <f t="shared" si="12"/>
        <v>6232.6395507425113</v>
      </c>
      <c r="D177" s="1">
        <f t="shared" si="13"/>
        <v>3837.2753686550782</v>
      </c>
      <c r="E177" s="1">
        <f t="shared" si="14"/>
        <v>607731.41943407012</v>
      </c>
    </row>
    <row r="178" spans="1:5">
      <c r="A178">
        <f t="shared" si="10"/>
        <v>165</v>
      </c>
      <c r="B178" s="1">
        <f t="shared" si="11"/>
        <v>10069.91491939759</v>
      </c>
      <c r="C178" s="1">
        <f t="shared" si="12"/>
        <v>6271.5935479346517</v>
      </c>
      <c r="D178" s="1">
        <f t="shared" si="13"/>
        <v>3798.3213714629378</v>
      </c>
      <c r="E178" s="1">
        <f t="shared" si="14"/>
        <v>601459.82588613546</v>
      </c>
    </row>
    <row r="179" spans="1:5">
      <c r="A179">
        <f t="shared" ref="A179:A242" si="15">IF(($B$7*$B$8&gt;A178),IF(($B$7*$B$8)=A178,"",A178+1),"")</f>
        <v>166</v>
      </c>
      <c r="B179" s="1">
        <f t="shared" si="11"/>
        <v>10069.91491939759</v>
      </c>
      <c r="C179" s="1">
        <f t="shared" ref="C179:C242" si="16">IF(A179="","",B179-D179)</f>
        <v>6310.791007609243</v>
      </c>
      <c r="D179" s="1">
        <f t="shared" ref="D179:D242" si="17">IF(A179="","",(E178*($B$6/$B$8)))</f>
        <v>3759.1239117883465</v>
      </c>
      <c r="E179" s="1">
        <f t="shared" ref="E179:E242" si="18">IF(A179="","",E178-C179)</f>
        <v>595149.03487852623</v>
      </c>
    </row>
    <row r="180" spans="1:5">
      <c r="A180">
        <f t="shared" si="15"/>
        <v>167</v>
      </c>
      <c r="B180" s="1">
        <f t="shared" si="11"/>
        <v>10069.91491939759</v>
      </c>
      <c r="C180" s="1">
        <f t="shared" si="16"/>
        <v>6350.2334514068007</v>
      </c>
      <c r="D180" s="1">
        <f t="shared" si="17"/>
        <v>3719.6814679907889</v>
      </c>
      <c r="E180" s="1">
        <f t="shared" si="18"/>
        <v>588798.80142711941</v>
      </c>
    </row>
    <row r="181" spans="1:5">
      <c r="A181">
        <f t="shared" si="15"/>
        <v>168</v>
      </c>
      <c r="B181" s="1">
        <f t="shared" si="11"/>
        <v>10069.91491939759</v>
      </c>
      <c r="C181" s="1">
        <f t="shared" si="16"/>
        <v>6389.9224104780933</v>
      </c>
      <c r="D181" s="1">
        <f t="shared" si="17"/>
        <v>3679.9925089194962</v>
      </c>
      <c r="E181" s="1">
        <f t="shared" si="18"/>
        <v>582408.87901664129</v>
      </c>
    </row>
    <row r="182" spans="1:5">
      <c r="A182">
        <f t="shared" si="15"/>
        <v>169</v>
      </c>
      <c r="B182" s="1">
        <f t="shared" si="11"/>
        <v>10069.91491939759</v>
      </c>
      <c r="C182" s="1">
        <f t="shared" si="16"/>
        <v>6429.8594255435819</v>
      </c>
      <c r="D182" s="1">
        <f t="shared" si="17"/>
        <v>3640.0554938540076</v>
      </c>
      <c r="E182" s="1">
        <f t="shared" si="18"/>
        <v>575979.01959109772</v>
      </c>
    </row>
    <row r="183" spans="1:5">
      <c r="A183">
        <f t="shared" si="15"/>
        <v>170</v>
      </c>
      <c r="B183" s="1">
        <f t="shared" si="11"/>
        <v>10069.91491939759</v>
      </c>
      <c r="C183" s="1">
        <f t="shared" si="16"/>
        <v>6470.04604695323</v>
      </c>
      <c r="D183" s="1">
        <f t="shared" si="17"/>
        <v>3599.8688724443605</v>
      </c>
      <c r="E183" s="1">
        <f t="shared" si="18"/>
        <v>569508.97354414454</v>
      </c>
    </row>
    <row r="184" spans="1:5">
      <c r="A184">
        <f t="shared" si="15"/>
        <v>171</v>
      </c>
      <c r="B184" s="1">
        <f t="shared" si="11"/>
        <v>10069.91491939759</v>
      </c>
      <c r="C184" s="1">
        <f t="shared" si="16"/>
        <v>6510.4838347466866</v>
      </c>
      <c r="D184" s="1">
        <f t="shared" si="17"/>
        <v>3559.4310846509029</v>
      </c>
      <c r="E184" s="1">
        <f t="shared" si="18"/>
        <v>562998.48970939789</v>
      </c>
    </row>
    <row r="185" spans="1:5">
      <c r="A185">
        <f t="shared" si="15"/>
        <v>172</v>
      </c>
      <c r="B185" s="1">
        <f t="shared" si="11"/>
        <v>10069.91491939759</v>
      </c>
      <c r="C185" s="1">
        <f t="shared" si="16"/>
        <v>6551.1743587138535</v>
      </c>
      <c r="D185" s="1">
        <f t="shared" si="17"/>
        <v>3518.7405606837365</v>
      </c>
      <c r="E185" s="1">
        <f t="shared" si="18"/>
        <v>556447.31535068399</v>
      </c>
    </row>
    <row r="186" spans="1:5">
      <c r="A186">
        <f t="shared" si="15"/>
        <v>173</v>
      </c>
      <c r="B186" s="1">
        <f t="shared" si="11"/>
        <v>10069.91491939759</v>
      </c>
      <c r="C186" s="1">
        <f t="shared" si="16"/>
        <v>6592.1191984558154</v>
      </c>
      <c r="D186" s="1">
        <f t="shared" si="17"/>
        <v>3477.7957209417746</v>
      </c>
      <c r="E186" s="1">
        <f t="shared" si="18"/>
        <v>549855.19615222816</v>
      </c>
    </row>
    <row r="187" spans="1:5">
      <c r="A187">
        <f t="shared" si="15"/>
        <v>174</v>
      </c>
      <c r="B187" s="1">
        <f t="shared" si="11"/>
        <v>10069.91491939759</v>
      </c>
      <c r="C187" s="1">
        <f t="shared" si="16"/>
        <v>6633.319943446164</v>
      </c>
      <c r="D187" s="1">
        <f t="shared" si="17"/>
        <v>3436.5949759514256</v>
      </c>
      <c r="E187" s="1">
        <f t="shared" si="18"/>
        <v>543221.87620878196</v>
      </c>
    </row>
    <row r="188" spans="1:5">
      <c r="A188">
        <f t="shared" si="15"/>
        <v>175</v>
      </c>
      <c r="B188" s="1">
        <f t="shared" si="11"/>
        <v>10069.91491939759</v>
      </c>
      <c r="C188" s="1">
        <f t="shared" si="16"/>
        <v>6674.7781930927031</v>
      </c>
      <c r="D188" s="1">
        <f t="shared" si="17"/>
        <v>3395.1367263048869</v>
      </c>
      <c r="E188" s="1">
        <f t="shared" si="18"/>
        <v>536547.09801568929</v>
      </c>
    </row>
    <row r="189" spans="1:5">
      <c r="A189">
        <f t="shared" si="15"/>
        <v>176</v>
      </c>
      <c r="B189" s="1">
        <f t="shared" si="11"/>
        <v>10069.91491939759</v>
      </c>
      <c r="C189" s="1">
        <f t="shared" si="16"/>
        <v>6716.4955567995321</v>
      </c>
      <c r="D189" s="1">
        <f t="shared" si="17"/>
        <v>3353.4193625980579</v>
      </c>
      <c r="E189" s="1">
        <f t="shared" si="18"/>
        <v>529830.60245888971</v>
      </c>
    </row>
    <row r="190" spans="1:5">
      <c r="A190">
        <f t="shared" si="15"/>
        <v>177</v>
      </c>
      <c r="B190" s="1">
        <f t="shared" si="11"/>
        <v>10069.91491939759</v>
      </c>
      <c r="C190" s="1">
        <f t="shared" si="16"/>
        <v>6758.4736540295289</v>
      </c>
      <c r="D190" s="1">
        <f t="shared" si="17"/>
        <v>3311.4412653680606</v>
      </c>
      <c r="E190" s="1">
        <f t="shared" si="18"/>
        <v>523072.12880486017</v>
      </c>
    </row>
    <row r="191" spans="1:5">
      <c r="A191">
        <f t="shared" si="15"/>
        <v>178</v>
      </c>
      <c r="B191" s="1">
        <f t="shared" si="11"/>
        <v>10069.91491939759</v>
      </c>
      <c r="C191" s="1">
        <f t="shared" si="16"/>
        <v>6800.7141143672143</v>
      </c>
      <c r="D191" s="1">
        <f t="shared" si="17"/>
        <v>3269.2008050303757</v>
      </c>
      <c r="E191" s="1">
        <f t="shared" si="18"/>
        <v>516271.41469049297</v>
      </c>
    </row>
    <row r="192" spans="1:5">
      <c r="A192">
        <f t="shared" si="15"/>
        <v>179</v>
      </c>
      <c r="B192" s="1">
        <f t="shared" si="11"/>
        <v>10069.91491939759</v>
      </c>
      <c r="C192" s="1">
        <f t="shared" si="16"/>
        <v>6843.2185775820089</v>
      </c>
      <c r="D192" s="1">
        <f t="shared" si="17"/>
        <v>3226.6963418155806</v>
      </c>
      <c r="E192" s="1">
        <f t="shared" si="18"/>
        <v>509428.19611291098</v>
      </c>
    </row>
    <row r="193" spans="1:5">
      <c r="A193">
        <f t="shared" si="15"/>
        <v>180</v>
      </c>
      <c r="B193" s="1">
        <f t="shared" si="11"/>
        <v>10069.91491939759</v>
      </c>
      <c r="C193" s="1">
        <f t="shared" si="16"/>
        <v>6885.9886936918965</v>
      </c>
      <c r="D193" s="1">
        <f t="shared" si="17"/>
        <v>3183.9262257056935</v>
      </c>
      <c r="E193" s="1">
        <f t="shared" si="18"/>
        <v>502542.20741921908</v>
      </c>
    </row>
    <row r="194" spans="1:5">
      <c r="A194">
        <f t="shared" si="15"/>
        <v>181</v>
      </c>
      <c r="B194" s="1">
        <f t="shared" si="11"/>
        <v>10069.91491939759</v>
      </c>
      <c r="C194" s="1">
        <f t="shared" si="16"/>
        <v>6929.0261230274709</v>
      </c>
      <c r="D194" s="1">
        <f t="shared" si="17"/>
        <v>3140.8887963701191</v>
      </c>
      <c r="E194" s="1">
        <f t="shared" si="18"/>
        <v>495613.18129619159</v>
      </c>
    </row>
    <row r="195" spans="1:5">
      <c r="A195">
        <f t="shared" si="15"/>
        <v>182</v>
      </c>
      <c r="B195" s="1">
        <f t="shared" si="11"/>
        <v>10069.91491939759</v>
      </c>
      <c r="C195" s="1">
        <f t="shared" si="16"/>
        <v>6972.3325362963933</v>
      </c>
      <c r="D195" s="1">
        <f t="shared" si="17"/>
        <v>3097.5823831011971</v>
      </c>
      <c r="E195" s="1">
        <f t="shared" si="18"/>
        <v>488640.84875989519</v>
      </c>
    </row>
    <row r="196" spans="1:5">
      <c r="A196">
        <f t="shared" si="15"/>
        <v>183</v>
      </c>
      <c r="B196" s="1">
        <f t="shared" si="11"/>
        <v>10069.91491939759</v>
      </c>
      <c r="C196" s="1">
        <f t="shared" si="16"/>
        <v>7015.9096146482452</v>
      </c>
      <c r="D196" s="1">
        <f t="shared" si="17"/>
        <v>3054.0053047493448</v>
      </c>
      <c r="E196" s="1">
        <f t="shared" si="18"/>
        <v>481624.93914524693</v>
      </c>
    </row>
    <row r="197" spans="1:5">
      <c r="A197">
        <f t="shared" si="15"/>
        <v>184</v>
      </c>
      <c r="B197" s="1">
        <f t="shared" si="11"/>
        <v>10069.91491939759</v>
      </c>
      <c r="C197" s="1">
        <f t="shared" si="16"/>
        <v>7059.7590497397969</v>
      </c>
      <c r="D197" s="1">
        <f t="shared" si="17"/>
        <v>3010.1558696577931</v>
      </c>
      <c r="E197" s="1">
        <f t="shared" si="18"/>
        <v>474565.18009550712</v>
      </c>
    </row>
    <row r="198" spans="1:5">
      <c r="A198">
        <f t="shared" si="15"/>
        <v>185</v>
      </c>
      <c r="B198" s="1">
        <f t="shared" si="11"/>
        <v>10069.91491939759</v>
      </c>
      <c r="C198" s="1">
        <f t="shared" si="16"/>
        <v>7103.8825438006706</v>
      </c>
      <c r="D198" s="1">
        <f t="shared" si="17"/>
        <v>2966.0323755969193</v>
      </c>
      <c r="E198" s="1">
        <f t="shared" si="18"/>
        <v>467461.29755170643</v>
      </c>
    </row>
    <row r="199" spans="1:5">
      <c r="A199">
        <f t="shared" si="15"/>
        <v>186</v>
      </c>
      <c r="B199" s="1">
        <f t="shared" si="11"/>
        <v>10069.91491939759</v>
      </c>
      <c r="C199" s="1">
        <f t="shared" si="16"/>
        <v>7148.2818096994251</v>
      </c>
      <c r="D199" s="1">
        <f t="shared" si="17"/>
        <v>2921.6331096981648</v>
      </c>
      <c r="E199" s="1">
        <f t="shared" si="18"/>
        <v>460313.015742007</v>
      </c>
    </row>
    <row r="200" spans="1:5">
      <c r="A200">
        <f t="shared" si="15"/>
        <v>187</v>
      </c>
      <c r="B200" s="1">
        <f t="shared" si="11"/>
        <v>10069.91491939759</v>
      </c>
      <c r="C200" s="1">
        <f t="shared" si="16"/>
        <v>7192.9585710100464</v>
      </c>
      <c r="D200" s="1">
        <f t="shared" si="17"/>
        <v>2876.9563483875436</v>
      </c>
      <c r="E200" s="1">
        <f t="shared" si="18"/>
        <v>453120.05717099697</v>
      </c>
    </row>
    <row r="201" spans="1:5">
      <c r="A201">
        <f t="shared" si="15"/>
        <v>188</v>
      </c>
      <c r="B201" s="1">
        <f t="shared" si="11"/>
        <v>10069.91491939759</v>
      </c>
      <c r="C201" s="1">
        <f t="shared" si="16"/>
        <v>7237.9145620788586</v>
      </c>
      <c r="D201" s="1">
        <f t="shared" si="17"/>
        <v>2832.0003573187309</v>
      </c>
      <c r="E201" s="1">
        <f t="shared" si="18"/>
        <v>445882.14260891813</v>
      </c>
    </row>
    <row r="202" spans="1:5">
      <c r="A202">
        <f t="shared" si="15"/>
        <v>189</v>
      </c>
      <c r="B202" s="1">
        <f t="shared" si="11"/>
        <v>10069.91491939759</v>
      </c>
      <c r="C202" s="1">
        <f t="shared" si="16"/>
        <v>7283.151528091852</v>
      </c>
      <c r="D202" s="1">
        <f t="shared" si="17"/>
        <v>2786.763391305738</v>
      </c>
      <c r="E202" s="1">
        <f t="shared" si="18"/>
        <v>438598.99108082626</v>
      </c>
    </row>
    <row r="203" spans="1:5">
      <c r="A203">
        <f t="shared" si="15"/>
        <v>190</v>
      </c>
      <c r="B203" s="1">
        <f t="shared" si="11"/>
        <v>10069.91491939759</v>
      </c>
      <c r="C203" s="1">
        <f t="shared" si="16"/>
        <v>7328.671225142426</v>
      </c>
      <c r="D203" s="1">
        <f t="shared" si="17"/>
        <v>2741.243694255164</v>
      </c>
      <c r="E203" s="1">
        <f t="shared" si="18"/>
        <v>431270.31985568383</v>
      </c>
    </row>
    <row r="204" spans="1:5">
      <c r="A204">
        <f t="shared" si="15"/>
        <v>191</v>
      </c>
      <c r="B204" s="1">
        <f t="shared" si="11"/>
        <v>10069.91491939759</v>
      </c>
      <c r="C204" s="1">
        <f t="shared" si="16"/>
        <v>7374.4754202995664</v>
      </c>
      <c r="D204" s="1">
        <f t="shared" si="17"/>
        <v>2695.4394990980236</v>
      </c>
      <c r="E204" s="1">
        <f t="shared" si="18"/>
        <v>423895.84443538426</v>
      </c>
    </row>
    <row r="205" spans="1:5">
      <c r="A205">
        <f t="shared" si="15"/>
        <v>192</v>
      </c>
      <c r="B205" s="1">
        <f t="shared" si="11"/>
        <v>10069.91491939759</v>
      </c>
      <c r="C205" s="1">
        <f t="shared" si="16"/>
        <v>7420.5658916764387</v>
      </c>
      <c r="D205" s="1">
        <f t="shared" si="17"/>
        <v>2649.3490277211513</v>
      </c>
      <c r="E205" s="1">
        <f t="shared" si="18"/>
        <v>416475.2785437078</v>
      </c>
    </row>
    <row r="206" spans="1:5">
      <c r="A206">
        <f t="shared" si="15"/>
        <v>193</v>
      </c>
      <c r="B206" s="1">
        <f t="shared" si="11"/>
        <v>10069.91491939759</v>
      </c>
      <c r="C206" s="1">
        <f t="shared" si="16"/>
        <v>7466.944428499417</v>
      </c>
      <c r="D206" s="1">
        <f t="shared" si="17"/>
        <v>2602.9704908981735</v>
      </c>
      <c r="E206" s="1">
        <f t="shared" si="18"/>
        <v>409008.33411520836</v>
      </c>
    </row>
    <row r="207" spans="1:5">
      <c r="A207">
        <f t="shared" si="15"/>
        <v>194</v>
      </c>
      <c r="B207" s="1">
        <f t="shared" si="11"/>
        <v>10069.91491939759</v>
      </c>
      <c r="C207" s="1">
        <f t="shared" si="16"/>
        <v>7513.6128311775374</v>
      </c>
      <c r="D207" s="1">
        <f t="shared" si="17"/>
        <v>2556.3020882200522</v>
      </c>
      <c r="E207" s="1">
        <f t="shared" si="18"/>
        <v>401494.72128403082</v>
      </c>
    </row>
    <row r="208" spans="1:5">
      <c r="A208">
        <f t="shared" si="15"/>
        <v>195</v>
      </c>
      <c r="B208" s="1">
        <f t="shared" ref="B208:B271" si="19">IF(A208="","",$B$14)</f>
        <v>10069.91491939759</v>
      </c>
      <c r="C208" s="1">
        <f t="shared" si="16"/>
        <v>7560.5729113723974</v>
      </c>
      <c r="D208" s="1">
        <f t="shared" si="17"/>
        <v>2509.3420080251926</v>
      </c>
      <c r="E208" s="1">
        <f t="shared" si="18"/>
        <v>393934.14837265841</v>
      </c>
    </row>
    <row r="209" spans="1:5">
      <c r="A209">
        <f t="shared" si="15"/>
        <v>196</v>
      </c>
      <c r="B209" s="1">
        <f t="shared" si="19"/>
        <v>10069.91491939759</v>
      </c>
      <c r="C209" s="1">
        <f t="shared" si="16"/>
        <v>7607.8264920684751</v>
      </c>
      <c r="D209" s="1">
        <f t="shared" si="17"/>
        <v>2462.0884273291149</v>
      </c>
      <c r="E209" s="1">
        <f t="shared" si="18"/>
        <v>386326.32188058994</v>
      </c>
    </row>
    <row r="210" spans="1:5">
      <c r="A210">
        <f t="shared" si="15"/>
        <v>197</v>
      </c>
      <c r="B210" s="1">
        <f t="shared" si="19"/>
        <v>10069.91491939759</v>
      </c>
      <c r="C210" s="1">
        <f t="shared" si="16"/>
        <v>7655.3754076439036</v>
      </c>
      <c r="D210" s="1">
        <f t="shared" si="17"/>
        <v>2414.5395117536868</v>
      </c>
      <c r="E210" s="1">
        <f t="shared" si="18"/>
        <v>378670.94647294603</v>
      </c>
    </row>
    <row r="211" spans="1:5">
      <c r="A211">
        <f t="shared" si="15"/>
        <v>198</v>
      </c>
      <c r="B211" s="1">
        <f t="shared" si="19"/>
        <v>10069.91491939759</v>
      </c>
      <c r="C211" s="1">
        <f t="shared" si="16"/>
        <v>7703.2215039416769</v>
      </c>
      <c r="D211" s="1">
        <f t="shared" si="17"/>
        <v>2366.6934154559126</v>
      </c>
      <c r="E211" s="1">
        <f t="shared" si="18"/>
        <v>370967.72496900434</v>
      </c>
    </row>
    <row r="212" spans="1:5">
      <c r="A212">
        <f t="shared" si="15"/>
        <v>199</v>
      </c>
      <c r="B212" s="1">
        <f t="shared" si="19"/>
        <v>10069.91491939759</v>
      </c>
      <c r="C212" s="1">
        <f t="shared" si="16"/>
        <v>7751.3666383413129</v>
      </c>
      <c r="D212" s="1">
        <f t="shared" si="17"/>
        <v>2318.5482810562771</v>
      </c>
      <c r="E212" s="1">
        <f t="shared" si="18"/>
        <v>363216.358330663</v>
      </c>
    </row>
    <row r="213" spans="1:5">
      <c r="A213">
        <f t="shared" si="15"/>
        <v>200</v>
      </c>
      <c r="B213" s="1">
        <f t="shared" si="19"/>
        <v>10069.91491939759</v>
      </c>
      <c r="C213" s="1">
        <f t="shared" si="16"/>
        <v>7799.8126798309459</v>
      </c>
      <c r="D213" s="1">
        <f t="shared" si="17"/>
        <v>2270.1022395666437</v>
      </c>
      <c r="E213" s="1">
        <f t="shared" si="18"/>
        <v>355416.54565083206</v>
      </c>
    </row>
    <row r="214" spans="1:5">
      <c r="A214">
        <f t="shared" si="15"/>
        <v>201</v>
      </c>
      <c r="B214" s="1">
        <f t="shared" si="19"/>
        <v>10069.91491939759</v>
      </c>
      <c r="C214" s="1">
        <f t="shared" si="16"/>
        <v>7848.5615090798892</v>
      </c>
      <c r="D214" s="1">
        <f t="shared" si="17"/>
        <v>2221.3534103177003</v>
      </c>
      <c r="E214" s="1">
        <f t="shared" si="18"/>
        <v>347567.98414175218</v>
      </c>
    </row>
    <row r="215" spans="1:5">
      <c r="A215">
        <f t="shared" si="15"/>
        <v>202</v>
      </c>
      <c r="B215" s="1">
        <f t="shared" si="19"/>
        <v>10069.91491939759</v>
      </c>
      <c r="C215" s="1">
        <f t="shared" si="16"/>
        <v>7897.6150185116385</v>
      </c>
      <c r="D215" s="1">
        <f t="shared" si="17"/>
        <v>2172.299900885951</v>
      </c>
      <c r="E215" s="1">
        <f t="shared" si="18"/>
        <v>339670.36912324053</v>
      </c>
    </row>
    <row r="216" spans="1:5">
      <c r="A216">
        <f t="shared" si="15"/>
        <v>203</v>
      </c>
      <c r="B216" s="1">
        <f t="shared" si="19"/>
        <v>10069.91491939759</v>
      </c>
      <c r="C216" s="1">
        <f t="shared" si="16"/>
        <v>7946.9751123773367</v>
      </c>
      <c r="D216" s="1">
        <f t="shared" si="17"/>
        <v>2122.9398070202533</v>
      </c>
      <c r="E216" s="1">
        <f t="shared" si="18"/>
        <v>331723.39401086321</v>
      </c>
    </row>
    <row r="217" spans="1:5">
      <c r="A217">
        <f t="shared" si="15"/>
        <v>204</v>
      </c>
      <c r="B217" s="1">
        <f t="shared" si="19"/>
        <v>10069.91491939759</v>
      </c>
      <c r="C217" s="1">
        <f t="shared" si="16"/>
        <v>7996.6437068296946</v>
      </c>
      <c r="D217" s="1">
        <f t="shared" si="17"/>
        <v>2073.271212567895</v>
      </c>
      <c r="E217" s="1">
        <f t="shared" si="18"/>
        <v>323726.75030403351</v>
      </c>
    </row>
    <row r="218" spans="1:5">
      <c r="A218">
        <f t="shared" si="15"/>
        <v>205</v>
      </c>
      <c r="B218" s="1">
        <f t="shared" si="19"/>
        <v>10069.91491939759</v>
      </c>
      <c r="C218" s="1">
        <f t="shared" si="16"/>
        <v>8046.6227299973807</v>
      </c>
      <c r="D218" s="1">
        <f t="shared" si="17"/>
        <v>2023.2921894002093</v>
      </c>
      <c r="E218" s="1">
        <f t="shared" si="18"/>
        <v>315680.12757403613</v>
      </c>
    </row>
    <row r="219" spans="1:5">
      <c r="A219">
        <f t="shared" si="15"/>
        <v>206</v>
      </c>
      <c r="B219" s="1">
        <f t="shared" si="19"/>
        <v>10069.91491939759</v>
      </c>
      <c r="C219" s="1">
        <f t="shared" si="16"/>
        <v>8096.9141220598649</v>
      </c>
      <c r="D219" s="1">
        <f t="shared" si="17"/>
        <v>1973.0007973377255</v>
      </c>
      <c r="E219" s="1">
        <f t="shared" si="18"/>
        <v>307583.21345197625</v>
      </c>
    </row>
    <row r="220" spans="1:5">
      <c r="A220">
        <f t="shared" si="15"/>
        <v>207</v>
      </c>
      <c r="B220" s="1">
        <f t="shared" si="19"/>
        <v>10069.91491939759</v>
      </c>
      <c r="C220" s="1">
        <f t="shared" si="16"/>
        <v>8147.5198353227388</v>
      </c>
      <c r="D220" s="1">
        <f t="shared" si="17"/>
        <v>1922.3950840748514</v>
      </c>
      <c r="E220" s="1">
        <f t="shared" si="18"/>
        <v>299435.6936166535</v>
      </c>
    </row>
    <row r="221" spans="1:5">
      <c r="A221">
        <f t="shared" si="15"/>
        <v>208</v>
      </c>
      <c r="B221" s="1">
        <f t="shared" si="19"/>
        <v>10069.91491939759</v>
      </c>
      <c r="C221" s="1">
        <f t="shared" si="16"/>
        <v>8198.441834293506</v>
      </c>
      <c r="D221" s="1">
        <f t="shared" si="17"/>
        <v>1871.4730851040842</v>
      </c>
      <c r="E221" s="1">
        <f t="shared" si="18"/>
        <v>291237.25178236002</v>
      </c>
    </row>
    <row r="222" spans="1:5">
      <c r="A222">
        <f t="shared" si="15"/>
        <v>209</v>
      </c>
      <c r="B222" s="1">
        <f t="shared" si="19"/>
        <v>10069.91491939759</v>
      </c>
      <c r="C222" s="1">
        <f t="shared" si="16"/>
        <v>8249.6820957578402</v>
      </c>
      <c r="D222" s="1">
        <f t="shared" si="17"/>
        <v>1820.23282363975</v>
      </c>
      <c r="E222" s="1">
        <f t="shared" si="18"/>
        <v>282987.56968660216</v>
      </c>
    </row>
    <row r="223" spans="1:5">
      <c r="A223">
        <f t="shared" si="15"/>
        <v>210</v>
      </c>
      <c r="B223" s="1">
        <f t="shared" si="19"/>
        <v>10069.91491939759</v>
      </c>
      <c r="C223" s="1">
        <f t="shared" si="16"/>
        <v>8301.2426088563261</v>
      </c>
      <c r="D223" s="1">
        <f t="shared" si="17"/>
        <v>1768.6723105412634</v>
      </c>
      <c r="E223" s="1">
        <f t="shared" si="18"/>
        <v>274686.32707774581</v>
      </c>
    </row>
    <row r="224" spans="1:5">
      <c r="A224">
        <f t="shared" si="15"/>
        <v>211</v>
      </c>
      <c r="B224" s="1">
        <f t="shared" si="19"/>
        <v>10069.91491939759</v>
      </c>
      <c r="C224" s="1">
        <f t="shared" si="16"/>
        <v>8353.1253751616787</v>
      </c>
      <c r="D224" s="1">
        <f t="shared" si="17"/>
        <v>1716.7895442359111</v>
      </c>
      <c r="E224" s="1">
        <f t="shared" si="18"/>
        <v>266333.20170258411</v>
      </c>
    </row>
    <row r="225" spans="1:5">
      <c r="A225">
        <f t="shared" si="15"/>
        <v>212</v>
      </c>
      <c r="B225" s="1">
        <f t="shared" si="19"/>
        <v>10069.91491939759</v>
      </c>
      <c r="C225" s="1">
        <f t="shared" si="16"/>
        <v>8405.3324087564397</v>
      </c>
      <c r="D225" s="1">
        <f t="shared" si="17"/>
        <v>1664.5825106411505</v>
      </c>
      <c r="E225" s="1">
        <f t="shared" si="18"/>
        <v>257927.86929382768</v>
      </c>
    </row>
    <row r="226" spans="1:5">
      <c r="A226">
        <f t="shared" si="15"/>
        <v>213</v>
      </c>
      <c r="B226" s="1">
        <f t="shared" si="19"/>
        <v>10069.91491939759</v>
      </c>
      <c r="C226" s="1">
        <f t="shared" si="16"/>
        <v>8457.865736311167</v>
      </c>
      <c r="D226" s="1">
        <f t="shared" si="17"/>
        <v>1612.0491830864228</v>
      </c>
      <c r="E226" s="1">
        <f t="shared" si="18"/>
        <v>249470.00355751652</v>
      </c>
    </row>
    <row r="227" spans="1:5">
      <c r="A227">
        <f t="shared" si="15"/>
        <v>214</v>
      </c>
      <c r="B227" s="1">
        <f t="shared" si="19"/>
        <v>10069.91491939759</v>
      </c>
      <c r="C227" s="1">
        <f t="shared" si="16"/>
        <v>8510.7273971631112</v>
      </c>
      <c r="D227" s="1">
        <f t="shared" si="17"/>
        <v>1559.1875222344781</v>
      </c>
      <c r="E227" s="1">
        <f t="shared" si="18"/>
        <v>240959.27616035342</v>
      </c>
    </row>
    <row r="228" spans="1:5">
      <c r="A228">
        <f t="shared" si="15"/>
        <v>215</v>
      </c>
      <c r="B228" s="1">
        <f t="shared" si="19"/>
        <v>10069.91491939759</v>
      </c>
      <c r="C228" s="1">
        <f t="shared" si="16"/>
        <v>8563.9194433953817</v>
      </c>
      <c r="D228" s="1">
        <f t="shared" si="17"/>
        <v>1505.9954760022088</v>
      </c>
      <c r="E228" s="1">
        <f t="shared" si="18"/>
        <v>232395.35671695805</v>
      </c>
    </row>
    <row r="229" spans="1:5">
      <c r="A229">
        <f t="shared" si="15"/>
        <v>216</v>
      </c>
      <c r="B229" s="1">
        <f t="shared" si="19"/>
        <v>10069.91491939759</v>
      </c>
      <c r="C229" s="1">
        <f t="shared" si="16"/>
        <v>8617.4439399166022</v>
      </c>
      <c r="D229" s="1">
        <f t="shared" si="17"/>
        <v>1452.4709794809876</v>
      </c>
      <c r="E229" s="1">
        <f t="shared" si="18"/>
        <v>223777.91277704143</v>
      </c>
    </row>
    <row r="230" spans="1:5">
      <c r="A230">
        <f t="shared" si="15"/>
        <v>217</v>
      </c>
      <c r="B230" s="1">
        <f t="shared" si="19"/>
        <v>10069.91491939759</v>
      </c>
      <c r="C230" s="1">
        <f t="shared" si="16"/>
        <v>8671.3029645410807</v>
      </c>
      <c r="D230" s="1">
        <f t="shared" si="17"/>
        <v>1398.6119548565089</v>
      </c>
      <c r="E230" s="1">
        <f t="shared" si="18"/>
        <v>215106.60981250036</v>
      </c>
    </row>
    <row r="231" spans="1:5">
      <c r="A231">
        <f t="shared" si="15"/>
        <v>218</v>
      </c>
      <c r="B231" s="1">
        <f t="shared" si="19"/>
        <v>10069.91491939759</v>
      </c>
      <c r="C231" s="1">
        <f t="shared" si="16"/>
        <v>8725.4986080694634</v>
      </c>
      <c r="D231" s="1">
        <f t="shared" si="17"/>
        <v>1344.4163113281272</v>
      </c>
      <c r="E231" s="1">
        <f t="shared" si="18"/>
        <v>206381.1112044309</v>
      </c>
    </row>
    <row r="232" spans="1:5">
      <c r="A232">
        <f t="shared" si="15"/>
        <v>219</v>
      </c>
      <c r="B232" s="1">
        <f t="shared" si="19"/>
        <v>10069.91491939759</v>
      </c>
      <c r="C232" s="1">
        <f t="shared" si="16"/>
        <v>8780.0329743698967</v>
      </c>
      <c r="D232" s="1">
        <f t="shared" si="17"/>
        <v>1289.8819450276931</v>
      </c>
      <c r="E232" s="1">
        <f t="shared" si="18"/>
        <v>197601.07823006099</v>
      </c>
    </row>
    <row r="233" spans="1:5">
      <c r="A233">
        <f t="shared" si="15"/>
        <v>220</v>
      </c>
      <c r="B233" s="1">
        <f t="shared" si="19"/>
        <v>10069.91491939759</v>
      </c>
      <c r="C233" s="1">
        <f t="shared" si="16"/>
        <v>8834.9081804597081</v>
      </c>
      <c r="D233" s="1">
        <f t="shared" si="17"/>
        <v>1235.006738937881</v>
      </c>
      <c r="E233" s="1">
        <f t="shared" si="18"/>
        <v>188766.17004960129</v>
      </c>
    </row>
    <row r="234" spans="1:5">
      <c r="A234">
        <f t="shared" si="15"/>
        <v>221</v>
      </c>
      <c r="B234" s="1">
        <f t="shared" si="19"/>
        <v>10069.91491939759</v>
      </c>
      <c r="C234" s="1">
        <f t="shared" si="16"/>
        <v>8890.1263565875815</v>
      </c>
      <c r="D234" s="1">
        <f t="shared" si="17"/>
        <v>1179.788562810008</v>
      </c>
      <c r="E234" s="1">
        <f t="shared" si="18"/>
        <v>179876.04369301372</v>
      </c>
    </row>
    <row r="235" spans="1:5">
      <c r="A235">
        <f t="shared" si="15"/>
        <v>222</v>
      </c>
      <c r="B235" s="1">
        <f t="shared" si="19"/>
        <v>10069.91491939759</v>
      </c>
      <c r="C235" s="1">
        <f t="shared" si="16"/>
        <v>8945.6896463162539</v>
      </c>
      <c r="D235" s="1">
        <f t="shared" si="17"/>
        <v>1124.2252730813357</v>
      </c>
      <c r="E235" s="1">
        <f t="shared" si="18"/>
        <v>170930.35404669747</v>
      </c>
    </row>
    <row r="236" spans="1:5">
      <c r="A236">
        <f t="shared" si="15"/>
        <v>223</v>
      </c>
      <c r="B236" s="1">
        <f t="shared" si="19"/>
        <v>10069.91491939759</v>
      </c>
      <c r="C236" s="1">
        <f t="shared" si="16"/>
        <v>9001.6002066057299</v>
      </c>
      <c r="D236" s="1">
        <f t="shared" si="17"/>
        <v>1068.3147127918592</v>
      </c>
      <c r="E236" s="1">
        <f t="shared" si="18"/>
        <v>161928.75384009173</v>
      </c>
    </row>
    <row r="237" spans="1:5">
      <c r="A237">
        <f t="shared" si="15"/>
        <v>224</v>
      </c>
      <c r="B237" s="1">
        <f t="shared" si="19"/>
        <v>10069.91491939759</v>
      </c>
      <c r="C237" s="1">
        <f t="shared" si="16"/>
        <v>9057.8602078970162</v>
      </c>
      <c r="D237" s="1">
        <f t="shared" si="17"/>
        <v>1012.0547115005731</v>
      </c>
      <c r="E237" s="1">
        <f t="shared" si="18"/>
        <v>152870.8936321947</v>
      </c>
    </row>
    <row r="238" spans="1:5">
      <c r="A238">
        <f t="shared" si="15"/>
        <v>225</v>
      </c>
      <c r="B238" s="1">
        <f t="shared" si="19"/>
        <v>10069.91491939759</v>
      </c>
      <c r="C238" s="1">
        <f t="shared" si="16"/>
        <v>9114.4718341963726</v>
      </c>
      <c r="D238" s="1">
        <f t="shared" si="17"/>
        <v>955.44308520121672</v>
      </c>
      <c r="E238" s="1">
        <f t="shared" si="18"/>
        <v>143756.42179799834</v>
      </c>
    </row>
    <row r="239" spans="1:5">
      <c r="A239">
        <f t="shared" si="15"/>
        <v>226</v>
      </c>
      <c r="B239" s="1">
        <f t="shared" si="19"/>
        <v>10069.91491939759</v>
      </c>
      <c r="C239" s="1">
        <f t="shared" si="16"/>
        <v>9171.4372831601013</v>
      </c>
      <c r="D239" s="1">
        <f t="shared" si="17"/>
        <v>898.47763623748949</v>
      </c>
      <c r="E239" s="1">
        <f t="shared" si="18"/>
        <v>134584.98451483823</v>
      </c>
    </row>
    <row r="240" spans="1:5">
      <c r="A240">
        <f t="shared" si="15"/>
        <v>227</v>
      </c>
      <c r="B240" s="1">
        <f t="shared" si="19"/>
        <v>10069.91491939759</v>
      </c>
      <c r="C240" s="1">
        <f t="shared" si="16"/>
        <v>9228.7587661798516</v>
      </c>
      <c r="D240" s="1">
        <f t="shared" si="17"/>
        <v>841.15615321773885</v>
      </c>
      <c r="E240" s="1">
        <f t="shared" si="18"/>
        <v>125356.22574865838</v>
      </c>
    </row>
    <row r="241" spans="1:5">
      <c r="A241">
        <f t="shared" si="15"/>
        <v>228</v>
      </c>
      <c r="B241" s="1">
        <f t="shared" si="19"/>
        <v>10069.91491939759</v>
      </c>
      <c r="C241" s="1">
        <f t="shared" si="16"/>
        <v>9286.4385084684745</v>
      </c>
      <c r="D241" s="1">
        <f t="shared" si="17"/>
        <v>783.47641092911488</v>
      </c>
      <c r="E241" s="1">
        <f t="shared" si="18"/>
        <v>116069.78724018991</v>
      </c>
    </row>
    <row r="242" spans="1:5">
      <c r="A242">
        <f t="shared" si="15"/>
        <v>229</v>
      </c>
      <c r="B242" s="1">
        <f t="shared" si="19"/>
        <v>10069.91491939759</v>
      </c>
      <c r="C242" s="1">
        <f t="shared" si="16"/>
        <v>9344.4787491464031</v>
      </c>
      <c r="D242" s="1">
        <f t="shared" si="17"/>
        <v>725.43617025118681</v>
      </c>
      <c r="E242" s="1">
        <f t="shared" si="18"/>
        <v>106725.3084910435</v>
      </c>
    </row>
    <row r="243" spans="1:5">
      <c r="A243">
        <f t="shared" ref="A243:A263" si="20">IF(($B$7*$B$8&gt;A242),IF(($B$7*$B$8)=A242,"",A242+1),"")</f>
        <v>230</v>
      </c>
      <c r="B243" s="1">
        <f t="shared" si="19"/>
        <v>10069.91491939759</v>
      </c>
      <c r="C243" s="1">
        <f t="shared" ref="C243:C263" si="21">IF(A243="","",B243-D243)</f>
        <v>9402.8817413285688</v>
      </c>
      <c r="D243" s="1">
        <f t="shared" ref="D243:D263" si="22">IF(A243="","",(E242*($B$6/$B$8)))</f>
        <v>667.0331780690218</v>
      </c>
      <c r="E243" s="1">
        <f t="shared" ref="E243:E263" si="23">IF(A243="","",E242-C243)</f>
        <v>97322.426749714927</v>
      </c>
    </row>
    <row r="244" spans="1:5">
      <c r="A244">
        <f t="shared" si="20"/>
        <v>231</v>
      </c>
      <c r="B244" s="1">
        <f t="shared" si="19"/>
        <v>10069.91491939759</v>
      </c>
      <c r="C244" s="1">
        <f t="shared" si="21"/>
        <v>9461.6497522118716</v>
      </c>
      <c r="D244" s="1">
        <f t="shared" si="22"/>
        <v>608.26516718571827</v>
      </c>
      <c r="E244" s="1">
        <f t="shared" si="23"/>
        <v>87860.776997503053</v>
      </c>
    </row>
    <row r="245" spans="1:5">
      <c r="A245">
        <f t="shared" si="20"/>
        <v>232</v>
      </c>
      <c r="B245" s="1">
        <f t="shared" si="19"/>
        <v>10069.91491939759</v>
      </c>
      <c r="C245" s="1">
        <f t="shared" si="21"/>
        <v>9520.7850631631954</v>
      </c>
      <c r="D245" s="1">
        <f t="shared" si="22"/>
        <v>549.12985623439408</v>
      </c>
      <c r="E245" s="1">
        <f t="shared" si="23"/>
        <v>78339.991934339865</v>
      </c>
    </row>
    <row r="246" spans="1:5">
      <c r="A246">
        <f t="shared" si="20"/>
        <v>233</v>
      </c>
      <c r="B246" s="1">
        <f t="shared" si="19"/>
        <v>10069.91491939759</v>
      </c>
      <c r="C246" s="1">
        <f t="shared" si="21"/>
        <v>9580.2899698079655</v>
      </c>
      <c r="D246" s="1">
        <f t="shared" si="22"/>
        <v>489.62494958962412</v>
      </c>
      <c r="E246" s="1">
        <f t="shared" si="23"/>
        <v>68759.701964531894</v>
      </c>
    </row>
    <row r="247" spans="1:5">
      <c r="A247">
        <f t="shared" si="20"/>
        <v>234</v>
      </c>
      <c r="B247" s="1">
        <f t="shared" si="19"/>
        <v>10069.91491939759</v>
      </c>
      <c r="C247" s="1">
        <f t="shared" si="21"/>
        <v>9640.1667821192659</v>
      </c>
      <c r="D247" s="1">
        <f t="shared" si="22"/>
        <v>429.74813727832429</v>
      </c>
      <c r="E247" s="1">
        <f t="shared" si="23"/>
        <v>59119.535182412626</v>
      </c>
    </row>
    <row r="248" spans="1:5">
      <c r="A248">
        <f t="shared" si="20"/>
        <v>235</v>
      </c>
      <c r="B248" s="1">
        <f t="shared" si="19"/>
        <v>10069.91491939759</v>
      </c>
      <c r="C248" s="1">
        <f t="shared" si="21"/>
        <v>9700.4178245075109</v>
      </c>
      <c r="D248" s="1">
        <f t="shared" si="22"/>
        <v>369.49709489007887</v>
      </c>
      <c r="E248" s="1">
        <f t="shared" si="23"/>
        <v>49419.117357905117</v>
      </c>
    </row>
    <row r="249" spans="1:5">
      <c r="A249">
        <f t="shared" si="20"/>
        <v>236</v>
      </c>
      <c r="B249" s="1">
        <f t="shared" si="19"/>
        <v>10069.91491939759</v>
      </c>
      <c r="C249" s="1">
        <f t="shared" si="21"/>
        <v>9761.0454359106825</v>
      </c>
      <c r="D249" s="1">
        <f t="shared" si="22"/>
        <v>308.86948348690697</v>
      </c>
      <c r="E249" s="1">
        <f t="shared" si="23"/>
        <v>39658.071921994437</v>
      </c>
    </row>
    <row r="250" spans="1:5">
      <c r="A250">
        <f t="shared" si="20"/>
        <v>237</v>
      </c>
      <c r="B250" s="1">
        <f t="shared" si="19"/>
        <v>10069.91491939759</v>
      </c>
      <c r="C250" s="1">
        <f t="shared" si="21"/>
        <v>9822.051969885124</v>
      </c>
      <c r="D250" s="1">
        <f t="shared" si="22"/>
        <v>247.86294951246521</v>
      </c>
      <c r="E250" s="1">
        <f t="shared" si="23"/>
        <v>29836.019952109313</v>
      </c>
    </row>
    <row r="251" spans="1:5">
      <c r="A251">
        <f t="shared" si="20"/>
        <v>238</v>
      </c>
      <c r="B251" s="1">
        <f t="shared" si="19"/>
        <v>10069.91491939759</v>
      </c>
      <c r="C251" s="1">
        <f t="shared" si="21"/>
        <v>9883.4397946969075</v>
      </c>
      <c r="D251" s="1">
        <f t="shared" si="22"/>
        <v>186.47512470068318</v>
      </c>
      <c r="E251" s="1">
        <f t="shared" si="23"/>
        <v>19952.580157412405</v>
      </c>
    </row>
    <row r="252" spans="1:5">
      <c r="A252">
        <f t="shared" si="20"/>
        <v>239</v>
      </c>
      <c r="B252" s="1">
        <f t="shared" si="19"/>
        <v>10069.91491939759</v>
      </c>
      <c r="C252" s="1">
        <f t="shared" si="21"/>
        <v>9945.2112934137622</v>
      </c>
      <c r="D252" s="1">
        <f t="shared" si="22"/>
        <v>124.70362598382752</v>
      </c>
      <c r="E252" s="1">
        <f t="shared" si="23"/>
        <v>10007.368863998643</v>
      </c>
    </row>
    <row r="253" spans="1:5">
      <c r="A253">
        <f t="shared" si="20"/>
        <v>240</v>
      </c>
      <c r="B253" s="1">
        <f t="shared" si="19"/>
        <v>10069.91491939759</v>
      </c>
      <c r="C253" s="1">
        <f t="shared" si="21"/>
        <v>10007.368863997599</v>
      </c>
      <c r="D253" s="1">
        <f t="shared" si="22"/>
        <v>62.546055399991516</v>
      </c>
      <c r="E253" s="1">
        <f t="shared" si="23"/>
        <v>1.0440999176353216E-9</v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T13" sqref="T13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S12" sqref="S12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552387.47263157892</v>
      </c>
      <c r="H7" s="94">
        <f>'Profit and Loss Statement'!F21/'Profit and Loss Statement'!F8</f>
        <v>577884.83294736838</v>
      </c>
      <c r="I7" s="94">
        <f>'Profit and Loss Statement'!G21/'Profit and Loss Statement'!G8</f>
        <v>603816.26031052647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552387.47263157892</v>
      </c>
      <c r="H11" s="114">
        <f t="shared" ref="H11:K11" si="0">H7</f>
        <v>577884.83294736838</v>
      </c>
      <c r="I11" s="114">
        <f t="shared" si="0"/>
        <v>603816.26031052647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R17" sqref="R17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9"/>
      <c r="J8" s="129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0.15841528582453465</v>
      </c>
      <c r="G12" s="101">
        <f>'Profit and Loss Statement'!F28/'Profit and Loss Statement'!F6</f>
        <v>0.22847432335742651</v>
      </c>
      <c r="H12" s="101">
        <f>'Profit and Loss Statement'!G28/'Profit and Loss Statement'!G6</f>
        <v>0.27277732065880028</v>
      </c>
      <c r="I12" s="129"/>
      <c r="J12" s="129"/>
    </row>
    <row r="13" spans="5:10">
      <c r="E13" s="66" t="s">
        <v>92</v>
      </c>
      <c r="F13" s="105">
        <f>'Balance Sheet'!E10/'Balance Sheet'!E15</f>
        <v>1.2219226249960706</v>
      </c>
      <c r="G13" s="105">
        <f>'Balance Sheet'!F10/'Balance Sheet'!F15</f>
        <v>1.271260351657324</v>
      </c>
      <c r="H13" s="105">
        <f>'Balance Sheet'!G10/'Balance Sheet'!G15</f>
        <v>1.347248191769276</v>
      </c>
      <c r="I13" s="130"/>
      <c r="J13" s="130"/>
    </row>
    <row r="14" spans="5:10">
      <c r="E14" s="66" t="s">
        <v>93</v>
      </c>
      <c r="F14" s="105">
        <f>'Balance Sheet'!E17/'Balance Sheet'!E15</f>
        <v>0.22192262499607071</v>
      </c>
      <c r="G14" s="105">
        <f>'Balance Sheet'!F17/'Balance Sheet'!F15</f>
        <v>0.27126035165732393</v>
      </c>
      <c r="H14" s="105">
        <f>'Balance Sheet'!G17/'Balance Sheet'!G15</f>
        <v>0.3472481917692759</v>
      </c>
      <c r="I14" s="130"/>
      <c r="J14" s="130"/>
    </row>
    <row r="15" spans="5:10">
      <c r="E15" s="66" t="s">
        <v>94</v>
      </c>
      <c r="F15" s="105">
        <f>'Balance Sheet'!E10/'Balance Sheet'!E17</f>
        <v>5.5060750341147306</v>
      </c>
      <c r="G15" s="105">
        <f>'Balance Sheet'!F10/'Balance Sheet'!F17</f>
        <v>4.6864952577488133</v>
      </c>
      <c r="H15" s="105">
        <f>'Balance Sheet'!G10/'Balance Sheet'!G17</f>
        <v>3.8797846142981087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0.10035830020164734</v>
      </c>
      <c r="G18" s="105">
        <f>'Balance Sheet'!F7/'Balance Sheet'!F10</f>
        <v>0.12523999034765493</v>
      </c>
      <c r="H18" s="105">
        <f>'Balance Sheet'!G7/'Balance Sheet'!G10</f>
        <v>0.16006745324273242</v>
      </c>
      <c r="I18" s="130"/>
      <c r="J18" s="130"/>
    </row>
    <row r="19" spans="5:10">
      <c r="E19" s="66" t="s">
        <v>96</v>
      </c>
      <c r="F19" s="105">
        <f>'Balance Sheet'!E7/'Balance Sheet'!E15</f>
        <v>0.12263007762254061</v>
      </c>
      <c r="G19" s="105">
        <f>'Balance Sheet'!F7/'Balance Sheet'!F15</f>
        <v>0.15921263417091966</v>
      </c>
      <c r="H19" s="105">
        <f>'Balance Sheet'!G7/'Balance Sheet'!G15</f>
        <v>0.21565058694238437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topLeftCell="A2" workbookViewId="0">
      <selection activeCell="C6" sqref="C6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50000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119</v>
      </c>
      <c r="C6" s="14">
        <v>45000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18"/>
      <c r="N6" s="118"/>
    </row>
    <row r="7" spans="2:14">
      <c r="B7" s="4" t="s">
        <v>130</v>
      </c>
      <c r="C7" s="14">
        <v>35000</v>
      </c>
      <c r="G7" s="4" t="str">
        <f>B6</f>
        <v>Operational Managers</v>
      </c>
      <c r="H7" s="14">
        <f t="shared" si="0"/>
        <v>45000</v>
      </c>
      <c r="I7" s="14">
        <f t="shared" si="1"/>
        <v>46350</v>
      </c>
      <c r="J7" s="14">
        <f t="shared" si="2"/>
        <v>47740.5</v>
      </c>
      <c r="M7" s="118"/>
      <c r="N7" s="118"/>
    </row>
    <row r="8" spans="2:14">
      <c r="B8" s="4" t="s">
        <v>132</v>
      </c>
      <c r="C8" s="14">
        <v>37500</v>
      </c>
      <c r="G8" s="4" t="str">
        <f>B7</f>
        <v>Grooming Staff</v>
      </c>
      <c r="H8" s="14">
        <f t="shared" si="0"/>
        <v>105000</v>
      </c>
      <c r="I8" s="14">
        <f t="shared" si="1"/>
        <v>108150</v>
      </c>
      <c r="J8" s="14">
        <f t="shared" si="2"/>
        <v>111394.5</v>
      </c>
      <c r="M8" s="118"/>
      <c r="N8" s="118"/>
    </row>
    <row r="9" spans="2:14">
      <c r="B9" s="4" t="s">
        <v>128</v>
      </c>
      <c r="C9" s="14">
        <v>37500</v>
      </c>
      <c r="G9" s="4" t="str">
        <f>B8</f>
        <v>Care Staff</v>
      </c>
      <c r="H9" s="14">
        <f t="shared" si="0"/>
        <v>150000</v>
      </c>
      <c r="I9" s="14">
        <f t="shared" si="1"/>
        <v>154500</v>
      </c>
      <c r="J9" s="14">
        <f t="shared" si="2"/>
        <v>159135</v>
      </c>
      <c r="M9" s="118"/>
      <c r="N9" s="118"/>
    </row>
    <row r="10" spans="2:14">
      <c r="B10" s="4" t="s">
        <v>121</v>
      </c>
      <c r="C10" s="14">
        <v>0</v>
      </c>
      <c r="G10" s="4" t="str">
        <f>B9</f>
        <v>Administrative Staff</v>
      </c>
      <c r="H10" s="14">
        <f t="shared" si="0"/>
        <v>37500</v>
      </c>
      <c r="I10" s="14">
        <f t="shared" si="1"/>
        <v>38625</v>
      </c>
      <c r="J10" s="14">
        <f t="shared" si="2"/>
        <v>39783.75</v>
      </c>
      <c r="M10" s="118"/>
      <c r="N10" s="118"/>
    </row>
    <row r="11" spans="2:14">
      <c r="B11" s="4" t="s">
        <v>135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136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137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125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387500</v>
      </c>
      <c r="I16" s="9">
        <f t="shared" ref="I16:J16" si="3">SUM(I6:I15)</f>
        <v>399125</v>
      </c>
      <c r="J16" s="9">
        <f t="shared" si="3"/>
        <v>411098.75</v>
      </c>
      <c r="M16" s="119"/>
      <c r="N16" s="119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Grooming Staff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Care Staff</v>
      </c>
      <c r="H21" s="4">
        <f t="shared" si="4"/>
        <v>4</v>
      </c>
      <c r="I21" s="4">
        <f t="shared" si="5"/>
        <v>4</v>
      </c>
      <c r="J21" s="4">
        <f t="shared" si="6"/>
        <v>4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1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Grooming Staff</v>
      </c>
      <c r="C26" s="5">
        <v>3</v>
      </c>
      <c r="D26" s="5">
        <v>3</v>
      </c>
      <c r="E26" s="5">
        <v>3</v>
      </c>
      <c r="F26" s="141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Care Staff</v>
      </c>
      <c r="C27" s="5">
        <v>4</v>
      </c>
      <c r="D27" s="5">
        <v>4</v>
      </c>
      <c r="E27" s="5">
        <v>4</v>
      </c>
      <c r="F27" s="141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1</v>
      </c>
      <c r="D28" s="5">
        <v>1</v>
      </c>
      <c r="E28" s="5">
        <v>1</v>
      </c>
      <c r="F28" s="141"/>
      <c r="G28" s="10" t="s">
        <v>8</v>
      </c>
      <c r="H28" s="10">
        <f>SUM(H18:H27)</f>
        <v>10</v>
      </c>
      <c r="I28" s="10">
        <f t="shared" ref="I28:J28" si="8">SUM(I18:I27)</f>
        <v>10</v>
      </c>
      <c r="J28" s="10">
        <f t="shared" si="8"/>
        <v>10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121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122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123</v>
      </c>
      <c r="C31" s="5"/>
      <c r="D31" s="5"/>
      <c r="E31" s="5"/>
      <c r="L31" s="112" t="str">
        <f>G6</f>
        <v>Senior Management</v>
      </c>
      <c r="M31" s="113">
        <f>J6/$J$16</f>
        <v>0.12903225806451613</v>
      </c>
      <c r="O31" s="115"/>
      <c r="P31" s="115"/>
      <c r="Q31" s="115"/>
      <c r="R31" s="115"/>
      <c r="S31" s="115"/>
      <c r="T31" s="115"/>
    </row>
    <row r="32" spans="2:20">
      <c r="B32" s="15" t="s">
        <v>124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0.11612903225806452</v>
      </c>
      <c r="O32" s="115"/>
      <c r="P32" s="115"/>
      <c r="Q32" s="115"/>
      <c r="T32" s="115"/>
    </row>
    <row r="33" spans="2:20">
      <c r="B33" s="15" t="s">
        <v>125</v>
      </c>
      <c r="C33" s="5"/>
      <c r="D33" s="5"/>
      <c r="E33" s="5"/>
      <c r="F33" s="30"/>
      <c r="G33" s="30"/>
      <c r="L33" s="112" t="str">
        <f>G8</f>
        <v>Grooming Staff</v>
      </c>
      <c r="M33" s="113">
        <f>J8/$J$16</f>
        <v>0.2709677419354839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Care Staff</v>
      </c>
      <c r="M34" s="113">
        <f>J9/$J$16</f>
        <v>0.38709677419354838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9.6774193548387094E-2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9">B6</f>
        <v>Operational Managers</v>
      </c>
      <c r="C59" s="14">
        <f t="shared" si="9"/>
        <v>45000</v>
      </c>
      <c r="D59" s="14">
        <f t="shared" ref="D59:G59" si="10">C59*(1+$C$53)</f>
        <v>46350</v>
      </c>
      <c r="E59" s="14">
        <f t="shared" si="10"/>
        <v>47740.5</v>
      </c>
      <c r="F59" s="14">
        <f t="shared" si="10"/>
        <v>49172.715000000004</v>
      </c>
      <c r="G59" s="14">
        <f t="shared" si="10"/>
        <v>50647.896450000007</v>
      </c>
    </row>
    <row r="60" spans="2:7">
      <c r="B60" s="4" t="str">
        <f t="shared" si="9"/>
        <v>Grooming Staff</v>
      </c>
      <c r="C60" s="14">
        <f t="shared" si="9"/>
        <v>35000</v>
      </c>
      <c r="D60" s="14">
        <f t="shared" ref="D60:G60" si="11">C60*(1+$C$53)</f>
        <v>36050</v>
      </c>
      <c r="E60" s="14">
        <f t="shared" si="11"/>
        <v>37131.5</v>
      </c>
      <c r="F60" s="14">
        <f t="shared" si="11"/>
        <v>38245.445</v>
      </c>
      <c r="G60" s="14">
        <f t="shared" si="11"/>
        <v>39392.808349999999</v>
      </c>
    </row>
    <row r="61" spans="2:7">
      <c r="B61" s="4" t="str">
        <f t="shared" si="9"/>
        <v>Care Staff</v>
      </c>
      <c r="C61" s="14">
        <f t="shared" si="9"/>
        <v>37500</v>
      </c>
      <c r="D61" s="14">
        <f t="shared" ref="D61:G61" si="12">C61*(1+$C$53)</f>
        <v>38625</v>
      </c>
      <c r="E61" s="14">
        <f t="shared" si="12"/>
        <v>39783.75</v>
      </c>
      <c r="F61" s="14">
        <f t="shared" si="12"/>
        <v>40977.262500000004</v>
      </c>
      <c r="G61" s="14">
        <f t="shared" si="12"/>
        <v>42206.580375000005</v>
      </c>
    </row>
    <row r="62" spans="2:7">
      <c r="B62" s="4" t="str">
        <f t="shared" si="9"/>
        <v>Administrative Staff</v>
      </c>
      <c r="C62" s="14">
        <f t="shared" si="9"/>
        <v>37500</v>
      </c>
      <c r="D62" s="14">
        <f t="shared" ref="D62:G62" si="13">C62*(1+$C$53)</f>
        <v>38625</v>
      </c>
      <c r="E62" s="14">
        <f t="shared" si="13"/>
        <v>39783.75</v>
      </c>
      <c r="F62" s="14">
        <f t="shared" si="13"/>
        <v>40977.262500000004</v>
      </c>
      <c r="G62" s="14">
        <f t="shared" si="13"/>
        <v>42206.580375000005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20" sqref="E20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133</v>
      </c>
      <c r="E6" s="6">
        <v>1225000</v>
      </c>
    </row>
    <row r="7" spans="4:5">
      <c r="D7" s="21" t="s">
        <v>134</v>
      </c>
      <c r="E7" s="6">
        <v>150000</v>
      </c>
    </row>
    <row r="8" spans="4:5">
      <c r="D8" s="21" t="s">
        <v>116</v>
      </c>
      <c r="E8" s="6">
        <v>25000</v>
      </c>
    </row>
    <row r="9" spans="4:5">
      <c r="D9" s="21" t="s">
        <v>0</v>
      </c>
      <c r="E9" s="6">
        <v>100000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1500000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250000</v>
      </c>
    </row>
    <row r="22" spans="4:5">
      <c r="D22" s="4" t="s">
        <v>99</v>
      </c>
      <c r="E22" s="14">
        <v>1250000</v>
      </c>
    </row>
    <row r="23" spans="4:5">
      <c r="D23" s="4" t="s">
        <v>100</v>
      </c>
      <c r="E23" s="14">
        <f>SUM(E21:E22)</f>
        <v>1500000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2" workbookViewId="0">
      <selection activeCell="S35" sqref="S35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894810</v>
      </c>
      <c r="F6" s="69">
        <f>'Revenue Overview'!G16</f>
        <v>1073772</v>
      </c>
      <c r="G6" s="81">
        <f>'Revenue Overview'!H16</f>
        <v>1234837.7999999998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44740.5</v>
      </c>
      <c r="F7" s="71">
        <f>'Revenue Overview'!G31</f>
        <v>53688.599999999991</v>
      </c>
      <c r="G7" s="80">
        <f>'Revenue Overview'!H31</f>
        <v>61741.889999999985</v>
      </c>
      <c r="H7" s="137"/>
      <c r="I7" s="137"/>
      <c r="J7" s="115"/>
      <c r="K7" s="112" t="s">
        <v>51</v>
      </c>
      <c r="L7" s="114">
        <f>E6</f>
        <v>894810</v>
      </c>
      <c r="M7" s="114">
        <f>F6</f>
        <v>1073772</v>
      </c>
      <c r="N7" s="114">
        <f>G6</f>
        <v>1234837.7999999998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4">
        <f t="shared" si="0"/>
        <v>0.95</v>
      </c>
      <c r="H8" s="139"/>
      <c r="I8" s="139"/>
      <c r="J8" s="115"/>
      <c r="K8" s="112" t="s">
        <v>76</v>
      </c>
      <c r="L8" s="114">
        <f>E6</f>
        <v>894810</v>
      </c>
      <c r="M8" s="114">
        <f>F6</f>
        <v>1073772</v>
      </c>
      <c r="N8" s="114">
        <f>G6</f>
        <v>1234837.7999999998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850069.5</v>
      </c>
      <c r="F10" s="76">
        <f t="shared" ref="F10:G10" si="1">F6-F7</f>
        <v>1020083.4</v>
      </c>
      <c r="G10" s="84">
        <f t="shared" si="1"/>
        <v>1173095.9099999999</v>
      </c>
      <c r="H10" s="136"/>
      <c r="I10" s="136"/>
      <c r="J10" s="115"/>
      <c r="K10" s="112" t="s">
        <v>47</v>
      </c>
      <c r="L10" s="114">
        <f>E23</f>
        <v>325301.40100000007</v>
      </c>
      <c r="M10" s="114">
        <f>F23</f>
        <v>471092.80870000005</v>
      </c>
      <c r="N10" s="114">
        <f>G23</f>
        <v>599470.46270499984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325301.40100000007</v>
      </c>
      <c r="M11" s="114">
        <f t="shared" ref="M11:N11" si="2">M10</f>
        <v>471092.80870000005</v>
      </c>
      <c r="N11" s="114">
        <f t="shared" si="2"/>
        <v>599470.46270499984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387500</v>
      </c>
      <c r="F13" s="78">
        <f>'Personnel - Editable'!I16</f>
        <v>399125</v>
      </c>
      <c r="G13" s="78">
        <f>'Personnel - Editable'!J16</f>
        <v>411098.75</v>
      </c>
      <c r="H13" s="137"/>
      <c r="I13" s="137"/>
      <c r="J13" s="115"/>
      <c r="K13" s="112" t="s">
        <v>75</v>
      </c>
      <c r="L13" s="114">
        <f>E21</f>
        <v>524768.09899999993</v>
      </c>
      <c r="M13" s="114">
        <f>F21</f>
        <v>548990.59129999997</v>
      </c>
      <c r="N13" s="114">
        <f>G21</f>
        <v>573625.44729500008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51507</v>
      </c>
      <c r="F14" s="80">
        <f>Inputs!D18</f>
        <v>53052.21</v>
      </c>
      <c r="G14" s="80">
        <f>Inputs!E18</f>
        <v>54643.776299999998</v>
      </c>
      <c r="H14" s="137"/>
      <c r="I14" s="137"/>
      <c r="J14" s="115"/>
      <c r="K14" s="112" t="s">
        <v>78</v>
      </c>
      <c r="L14" s="114">
        <f>E21</f>
        <v>524768.09899999993</v>
      </c>
      <c r="M14" s="114">
        <f>F21</f>
        <v>548990.59129999997</v>
      </c>
      <c r="N14" s="114">
        <f>G21</f>
        <v>573625.44729500008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14048.516999999998</v>
      </c>
      <c r="F15" s="78">
        <f>Inputs!D19</f>
        <v>16858.220399999998</v>
      </c>
      <c r="G15" s="78">
        <f>Inputs!E19</f>
        <v>19386.953459999997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13601.111999999999</v>
      </c>
      <c r="F16" s="80">
        <f>Inputs!D20</f>
        <v>16321.3344</v>
      </c>
      <c r="G16" s="80">
        <f>Inputs!E20</f>
        <v>18769.534559999996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11625</v>
      </c>
      <c r="F17" s="78">
        <f>Inputs!D21</f>
        <v>11973.75</v>
      </c>
      <c r="G17" s="78">
        <f>Inputs!E21</f>
        <v>12332.9625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10737.72</v>
      </c>
      <c r="F18" s="80">
        <f>Inputs!D22</f>
        <v>12885.264000000001</v>
      </c>
      <c r="G18" s="80">
        <f>Inputs!E22</f>
        <v>14818.053599999997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6105</v>
      </c>
      <c r="F19" s="78">
        <f>Inputs!D23</f>
        <v>8241.75</v>
      </c>
      <c r="G19" s="78">
        <f>Inputs!E23</f>
        <v>11126.362500000001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29643.75</v>
      </c>
      <c r="F20" s="80">
        <f>F13*'Tax Assumptions '!G9</f>
        <v>30533.0625</v>
      </c>
      <c r="G20" s="80">
        <f>G13*'Tax Assumptions '!H9</f>
        <v>31449.054375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524768.09899999993</v>
      </c>
      <c r="F21" s="81">
        <f t="shared" ref="F21:G21" si="3">SUM(F13:F20)</f>
        <v>548990.59129999997</v>
      </c>
      <c r="G21" s="81">
        <f t="shared" si="3"/>
        <v>573625.44729500008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325301.40100000007</v>
      </c>
      <c r="F23" s="83">
        <f t="shared" ref="F23:G23" si="4">F10-F21</f>
        <v>471092.80870000005</v>
      </c>
      <c r="G23" s="83">
        <f t="shared" si="4"/>
        <v>599470.46270499984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50625.564967375671</v>
      </c>
      <c r="F24" s="78">
        <f>(F23-F26-F27)*'Tax Assumptions '!G7</f>
        <v>87617.618264339486</v>
      </c>
      <c r="G24" s="78">
        <f>(G23-G26-G27)*'Tax Assumptions '!H7</f>
        <v>120298.48090435984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10125.112993475135</v>
      </c>
      <c r="F25" s="80">
        <f>(F23-F26-F27)*'Tax Assumptions '!G8</f>
        <v>17523.523652867898</v>
      </c>
      <c r="G25" s="80">
        <f>(G23-G26-G27)*'Tax Assumptions '!H8</f>
        <v>24059.696180871968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92799.141130497388</v>
      </c>
      <c r="F26" s="78">
        <f>SUM('Loan Amortization Table'!D26:D37)</f>
        <v>90622.335642642094</v>
      </c>
      <c r="G26" s="78">
        <f>SUM('Loan Amortization Table'!D38:D49)</f>
        <v>88276.539087560523</v>
      </c>
      <c r="H26" s="128"/>
      <c r="I26" s="128"/>
    </row>
    <row r="27" spans="4:21">
      <c r="D27" s="70" t="s">
        <v>54</v>
      </c>
      <c r="E27" s="80">
        <v>30000</v>
      </c>
      <c r="F27" s="80">
        <v>30000</v>
      </c>
      <c r="G27" s="80">
        <v>30000</v>
      </c>
      <c r="H27" s="128"/>
      <c r="I27" s="128"/>
    </row>
    <row r="28" spans="4:21">
      <c r="D28" s="82" t="s">
        <v>17</v>
      </c>
      <c r="E28" s="83">
        <f>E23-SUM(E24:E27)</f>
        <v>141751.58190865186</v>
      </c>
      <c r="F28" s="83">
        <f t="shared" ref="F28:G28" si="5">F23-SUM(F24:F27)</f>
        <v>245329.33114015058</v>
      </c>
      <c r="G28" s="83">
        <f t="shared" si="5"/>
        <v>336835.74653220747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894810</v>
      </c>
      <c r="F32" s="69">
        <f t="shared" ref="F32:G32" si="6">F6</f>
        <v>1073772</v>
      </c>
      <c r="G32" s="81">
        <f t="shared" si="6"/>
        <v>1234837.7999999998</v>
      </c>
      <c r="H32" s="132"/>
      <c r="I32" s="132"/>
    </row>
    <row r="33" spans="4:13">
      <c r="D33" s="70" t="s">
        <v>52</v>
      </c>
      <c r="E33" s="71">
        <f>E7</f>
        <v>44740.5</v>
      </c>
      <c r="F33" s="71">
        <f t="shared" ref="F33:G33" si="7">F7</f>
        <v>53688.599999999991</v>
      </c>
      <c r="G33" s="80">
        <f t="shared" si="7"/>
        <v>61741.889999999985</v>
      </c>
      <c r="H33" s="128"/>
      <c r="I33" s="128"/>
    </row>
    <row r="34" spans="4:13">
      <c r="D34" s="68" t="s">
        <v>10</v>
      </c>
      <c r="E34" s="69">
        <f>E10</f>
        <v>850069.5</v>
      </c>
      <c r="F34" s="69">
        <f t="shared" ref="F34:G34" si="8">F10</f>
        <v>1020083.4</v>
      </c>
      <c r="G34" s="81">
        <f t="shared" si="8"/>
        <v>1173095.9099999999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524768.09899999993</v>
      </c>
      <c r="F35" s="84">
        <f t="shared" ref="F35:G35" si="9">F21</f>
        <v>548990.59129999997</v>
      </c>
      <c r="G35" s="84">
        <f t="shared" si="9"/>
        <v>573625.44729500008</v>
      </c>
      <c r="H35" s="132"/>
      <c r="I35" s="132"/>
    </row>
    <row r="36" spans="4:13">
      <c r="D36" s="82" t="s">
        <v>47</v>
      </c>
      <c r="E36" s="83">
        <f>E23</f>
        <v>325301.40100000007</v>
      </c>
      <c r="F36" s="83">
        <f t="shared" ref="F36:G36" si="10">F23</f>
        <v>471092.80870000005</v>
      </c>
      <c r="G36" s="83">
        <f t="shared" si="10"/>
        <v>599470.46270499984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T19" sqref="T19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171751.58190865186</v>
      </c>
      <c r="F6" s="81">
        <f>'Profit and Loss Statement'!F28+'Profit and Loss Statement'!F27</f>
        <v>275329.33114015055</v>
      </c>
      <c r="G6" s="81">
        <f>'Profit and Loss Statement'!G28+'Profit and Loss Statement'!G27</f>
        <v>366835.74653220747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250000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1250000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5180</v>
      </c>
      <c r="F11" s="78">
        <f>E11*1.02</f>
        <v>5283.6</v>
      </c>
      <c r="G11" s="78">
        <f>F11*1.02</f>
        <v>5389.2720000000008</v>
      </c>
      <c r="H11" s="128"/>
      <c r="I11" s="128"/>
    </row>
    <row r="12" spans="4:9">
      <c r="D12" s="75" t="s">
        <v>23</v>
      </c>
      <c r="E12" s="89">
        <f>SUM(E9:E11)</f>
        <v>1505180</v>
      </c>
      <c r="F12" s="89">
        <f t="shared" ref="F12:G12" si="0">SUM(F9:F11)</f>
        <v>5283.6</v>
      </c>
      <c r="G12" s="89">
        <f t="shared" si="0"/>
        <v>5389.2720000000008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1676931.5819086519</v>
      </c>
      <c r="F15" s="90">
        <f t="shared" ref="F15:G15" si="1">F12+F6</f>
        <v>280612.93114015053</v>
      </c>
      <c r="G15" s="90">
        <f t="shared" si="1"/>
        <v>372225.01853220747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28039.837902273692</v>
      </c>
      <c r="F18" s="80">
        <f>SUM('Loan Amortization Table'!C26:C37)</f>
        <v>30216.643390128986</v>
      </c>
      <c r="G18" s="80">
        <f>SUM('Loan Amortization Table'!C38:C49)</f>
        <v>32562.439945210564</v>
      </c>
      <c r="H18" s="128"/>
      <c r="I18" s="128"/>
    </row>
    <row r="19" spans="4:9">
      <c r="D19" s="72" t="s">
        <v>25</v>
      </c>
      <c r="E19" s="78">
        <f>E11*0.7</f>
        <v>3625.9999999999995</v>
      </c>
      <c r="F19" s="78">
        <f t="shared" ref="F19:G19" si="2">F11*0.7</f>
        <v>3698.52</v>
      </c>
      <c r="G19" s="78">
        <f t="shared" si="2"/>
        <v>3772.4904000000001</v>
      </c>
      <c r="H19" s="128"/>
      <c r="I19" s="128"/>
    </row>
    <row r="20" spans="4:9">
      <c r="D20" s="70" t="s">
        <v>33</v>
      </c>
      <c r="E20" s="80">
        <f>'Use of Funds'!E6+'Use of Funds'!E7</f>
        <v>1375000</v>
      </c>
      <c r="F20" s="80">
        <f>F6*0.05</f>
        <v>13766.466557007529</v>
      </c>
      <c r="G20" s="80">
        <f>G6*0.05</f>
        <v>18341.787326610374</v>
      </c>
      <c r="H20" s="128"/>
      <c r="I20" s="128"/>
    </row>
    <row r="21" spans="4:9">
      <c r="D21" s="72" t="s">
        <v>32</v>
      </c>
      <c r="E21" s="78">
        <f>E6*0.7</f>
        <v>120226.10733605629</v>
      </c>
      <c r="F21" s="78">
        <f t="shared" ref="F21:G21" si="3">F6*0.7</f>
        <v>192730.53179810537</v>
      </c>
      <c r="G21" s="78">
        <f t="shared" si="3"/>
        <v>256785.02257254522</v>
      </c>
      <c r="H21" s="128"/>
      <c r="I21" s="128"/>
    </row>
    <row r="22" spans="4:9">
      <c r="D22" s="75" t="s">
        <v>26</v>
      </c>
      <c r="E22" s="84">
        <f>SUM(E18:E21)</f>
        <v>1526891.9452383299</v>
      </c>
      <c r="F22" s="84">
        <f t="shared" ref="F22:G22" si="4">SUM(F18:F21)</f>
        <v>240412.16174524187</v>
      </c>
      <c r="G22" s="84">
        <f t="shared" si="4"/>
        <v>311461.74024436617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150039.63667032192</v>
      </c>
      <c r="F24" s="91">
        <f t="shared" ref="F24:G24" si="5">F15-F22</f>
        <v>40200.769394908653</v>
      </c>
      <c r="G24" s="91">
        <f t="shared" si="5"/>
        <v>60763.278287841298</v>
      </c>
      <c r="H24" s="133"/>
      <c r="I24" s="133"/>
    </row>
    <row r="25" spans="4:9">
      <c r="D25" s="82" t="s">
        <v>6</v>
      </c>
      <c r="E25" s="91">
        <f>E24</f>
        <v>150039.63667032192</v>
      </c>
      <c r="F25" s="91">
        <f>E25+F24</f>
        <v>190240.40606523058</v>
      </c>
      <c r="G25" s="91">
        <f>F25+G24</f>
        <v>251003.68435307188</v>
      </c>
      <c r="H25" s="133"/>
      <c r="I25" s="133"/>
    </row>
    <row r="28" spans="4:9">
      <c r="D28" s="112" t="s">
        <v>79</v>
      </c>
      <c r="E28" s="114">
        <f>E6</f>
        <v>171751.58190865186</v>
      </c>
      <c r="F28" s="114">
        <f t="shared" ref="F28:G28" si="6">F6</f>
        <v>275329.33114015055</v>
      </c>
      <c r="G28" s="114">
        <f t="shared" si="6"/>
        <v>366835.74653220747</v>
      </c>
      <c r="H28" s="1"/>
      <c r="I28" s="1"/>
    </row>
    <row r="29" spans="4:9">
      <c r="D29" s="112" t="s">
        <v>80</v>
      </c>
      <c r="E29" s="114">
        <f>E18</f>
        <v>28039.837902273692</v>
      </c>
      <c r="F29" s="114">
        <f t="shared" ref="F29:G29" si="7">F18</f>
        <v>30216.643390128986</v>
      </c>
      <c r="G29" s="114">
        <f t="shared" si="7"/>
        <v>32562.439945210564</v>
      </c>
      <c r="H29" s="1"/>
      <c r="I29" s="1"/>
    </row>
    <row r="30" spans="4:9">
      <c r="D30" s="112" t="s">
        <v>81</v>
      </c>
      <c r="E30" s="114">
        <f>E21</f>
        <v>120226.10733605629</v>
      </c>
      <c r="F30" s="114">
        <f t="shared" ref="F30:G30" si="8">F21</f>
        <v>192730.53179810537</v>
      </c>
      <c r="G30" s="114">
        <f t="shared" si="8"/>
        <v>256785.02257254522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R22" sqref="R22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150039.63667032192</v>
      </c>
      <c r="F7" s="78">
        <f>'Cash Flow Analysis'!F25</f>
        <v>190240.40606523058</v>
      </c>
      <c r="G7" s="78">
        <f>'Cash Flow Analysis'!G25</f>
        <v>251003.68435307188</v>
      </c>
      <c r="H7" s="128"/>
      <c r="I7" s="128"/>
    </row>
    <row r="8" spans="4:9">
      <c r="D8" s="66" t="s">
        <v>126</v>
      </c>
      <c r="E8" s="94">
        <f>'Cash Flow Analysis'!E20</f>
        <v>1375000</v>
      </c>
      <c r="F8" s="94">
        <f>E8+'Cash Flow Analysis'!F20</f>
        <v>1388766.4665570075</v>
      </c>
      <c r="G8" s="94">
        <f>F8+'Cash Flow Analysis'!G20</f>
        <v>1407108.2538836179</v>
      </c>
      <c r="H8" s="128"/>
      <c r="I8" s="128"/>
    </row>
    <row r="9" spans="4:9">
      <c r="D9" s="72" t="s">
        <v>48</v>
      </c>
      <c r="E9" s="87">
        <f>-'Profit and Loss Statement'!E27</f>
        <v>-30000</v>
      </c>
      <c r="F9" s="87">
        <f>E9-'Profit and Loss Statement'!F27</f>
        <v>-60000</v>
      </c>
      <c r="G9" s="87">
        <f>F9-'Profit and Loss Statement'!G27</f>
        <v>-90000</v>
      </c>
      <c r="H9" s="131"/>
      <c r="I9" s="131"/>
    </row>
    <row r="10" spans="4:9">
      <c r="D10" s="95" t="s">
        <v>7</v>
      </c>
      <c r="E10" s="96">
        <f>SUM(E7:E9)</f>
        <v>1495039.6366703219</v>
      </c>
      <c r="F10" s="96">
        <f t="shared" ref="F10:G10" si="0">SUM(F7:F9)</f>
        <v>1519006.872622238</v>
      </c>
      <c r="G10" s="96">
        <f t="shared" si="0"/>
        <v>1568111.9382366899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1554.0000000000005</v>
      </c>
      <c r="F13" s="78">
        <f>E13+('Cash Flow Analysis'!F11-'Cash Flow Analysis'!F19)</f>
        <v>3139.0800000000008</v>
      </c>
      <c r="G13" s="78">
        <f>F13+('Cash Flow Analysis'!G11-'Cash Flow Analysis'!G19)</f>
        <v>4755.861600000002</v>
      </c>
      <c r="H13" s="128"/>
      <c r="I13" s="128"/>
    </row>
    <row r="14" spans="4:9">
      <c r="D14" s="66" t="s">
        <v>73</v>
      </c>
      <c r="E14" s="94">
        <f>'Loan Amortization Table'!E25</f>
        <v>1221960.1620977265</v>
      </c>
      <c r="F14" s="94">
        <f>'Loan Amortization Table'!E37</f>
        <v>1191743.5187075979</v>
      </c>
      <c r="G14" s="94">
        <f>'Loan Amortization Table'!E49</f>
        <v>1159181.0787623874</v>
      </c>
      <c r="H14" s="128"/>
      <c r="I14" s="128"/>
    </row>
    <row r="15" spans="4:9">
      <c r="D15" s="68" t="s">
        <v>30</v>
      </c>
      <c r="E15" s="81">
        <f>SUM(E13:E14)</f>
        <v>1223514.1620977265</v>
      </c>
      <c r="F15" s="81">
        <f t="shared" ref="F15:G15" si="1">SUM(F13:F14)</f>
        <v>1194882.5987075979</v>
      </c>
      <c r="G15" s="81">
        <f t="shared" si="1"/>
        <v>1163936.9403623873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271525.47457259544</v>
      </c>
      <c r="F17" s="83">
        <f t="shared" ref="F17:G17" si="2">F10-F15</f>
        <v>324124.27391464007</v>
      </c>
      <c r="G17" s="83">
        <f t="shared" si="2"/>
        <v>404174.99787430256</v>
      </c>
      <c r="H17" s="132"/>
      <c r="I17" s="132"/>
    </row>
    <row r="18" spans="4:9">
      <c r="D18" s="82" t="s">
        <v>31</v>
      </c>
      <c r="E18" s="83">
        <f>E15+E17</f>
        <v>1495039.6366703219</v>
      </c>
      <c r="F18" s="83">
        <f t="shared" ref="F18:G18" si="3">F15+F17</f>
        <v>1519006.872622238</v>
      </c>
      <c r="G18" s="83">
        <f t="shared" si="3"/>
        <v>1568111.9382366899</v>
      </c>
      <c r="H18" s="132"/>
      <c r="I18" s="132"/>
    </row>
    <row r="21" spans="4:9">
      <c r="D21" s="112" t="s">
        <v>82</v>
      </c>
      <c r="E21" s="114">
        <f>E10-1</f>
        <v>1495038.6366703219</v>
      </c>
      <c r="F21" s="114">
        <f t="shared" ref="F21:G21" si="4">F10-1</f>
        <v>1519005.872622238</v>
      </c>
      <c r="G21" s="114">
        <f t="shared" si="4"/>
        <v>1568110.9382366899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1223514.1620977265</v>
      </c>
      <c r="F22" s="114">
        <f t="shared" ref="F22:G22" si="6">F15</f>
        <v>1194882.5987075979</v>
      </c>
      <c r="G22" s="114">
        <f t="shared" si="6"/>
        <v>1163936.9403623873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271525.47457259544</v>
      </c>
      <c r="F23" s="114">
        <f t="shared" ref="F23:G23" si="8">F17</f>
        <v>324124.27391464007</v>
      </c>
      <c r="G23" s="114">
        <f t="shared" si="8"/>
        <v>404174.99787430256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Q20" sqref="Q20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74375</v>
      </c>
      <c r="D6" s="6">
        <f>Inputs!D42</f>
        <v>74410</v>
      </c>
      <c r="E6" s="6">
        <f>Inputs!E42</f>
        <v>74445</v>
      </c>
      <c r="F6" s="6">
        <f>Inputs!F42</f>
        <v>74480</v>
      </c>
      <c r="G6" s="6">
        <f>Inputs!G42</f>
        <v>74515</v>
      </c>
      <c r="H6" s="6">
        <f>Inputs!H42</f>
        <v>74550</v>
      </c>
      <c r="I6" s="6">
        <f>Inputs!I42</f>
        <v>74585</v>
      </c>
    </row>
    <row r="7" spans="2:9">
      <c r="B7" s="31" t="s">
        <v>52</v>
      </c>
      <c r="C7" s="6">
        <f>Inputs!C61</f>
        <v>3718.75</v>
      </c>
      <c r="D7" s="6">
        <f>Inputs!D61</f>
        <v>3720.5</v>
      </c>
      <c r="E7" s="6">
        <f>Inputs!E61</f>
        <v>3722.25</v>
      </c>
      <c r="F7" s="6">
        <f>Inputs!F61</f>
        <v>3724</v>
      </c>
      <c r="G7" s="6">
        <f>Inputs!G61</f>
        <v>3725.75</v>
      </c>
      <c r="H7" s="6">
        <f>Inputs!H61</f>
        <v>3727.5</v>
      </c>
      <c r="I7" s="6">
        <f>Inputs!I61</f>
        <v>3729.25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70656.25</v>
      </c>
      <c r="D10" s="6">
        <f t="shared" ref="D10:I10" si="2">D6-D7</f>
        <v>70689.5</v>
      </c>
      <c r="E10" s="6">
        <f t="shared" si="2"/>
        <v>70722.75</v>
      </c>
      <c r="F10" s="6">
        <f t="shared" si="2"/>
        <v>70756</v>
      </c>
      <c r="G10" s="6">
        <f t="shared" si="2"/>
        <v>70789.25</v>
      </c>
      <c r="H10" s="6">
        <f t="shared" si="2"/>
        <v>70822.5</v>
      </c>
      <c r="I10" s="6">
        <f t="shared" si="2"/>
        <v>70855.75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32291.666666666668</v>
      </c>
      <c r="D13" s="6">
        <f t="shared" ref="D13:I13" si="3">$H$41/12</f>
        <v>32291.666666666668</v>
      </c>
      <c r="E13" s="6">
        <f t="shared" si="3"/>
        <v>32291.666666666668</v>
      </c>
      <c r="F13" s="6">
        <f t="shared" si="3"/>
        <v>32291.666666666668</v>
      </c>
      <c r="G13" s="6">
        <f t="shared" si="3"/>
        <v>32291.666666666668</v>
      </c>
      <c r="H13" s="6">
        <f t="shared" si="3"/>
        <v>32291.666666666668</v>
      </c>
      <c r="I13" s="6">
        <f t="shared" si="3"/>
        <v>32291.666666666668</v>
      </c>
    </row>
    <row r="14" spans="2:9">
      <c r="B14" s="33" t="str">
        <f>'Profit and Loss Statement'!D14</f>
        <v>Facility Costs</v>
      </c>
      <c r="C14" s="6">
        <f>$H$42/12</f>
        <v>4292.25</v>
      </c>
      <c r="D14" s="6">
        <f t="shared" ref="D14:I14" si="4">$H$42/12</f>
        <v>4292.25</v>
      </c>
      <c r="E14" s="6">
        <f t="shared" si="4"/>
        <v>4292.25</v>
      </c>
      <c r="F14" s="6">
        <f t="shared" si="4"/>
        <v>4292.25</v>
      </c>
      <c r="G14" s="6">
        <f t="shared" si="4"/>
        <v>4292.25</v>
      </c>
      <c r="H14" s="6">
        <f t="shared" si="4"/>
        <v>4292.25</v>
      </c>
      <c r="I14" s="6">
        <f t="shared" si="4"/>
        <v>4292.25</v>
      </c>
    </row>
    <row r="15" spans="2:9">
      <c r="B15" s="33" t="str">
        <f>'Profit and Loss Statement'!D15</f>
        <v>General and Administrative</v>
      </c>
      <c r="C15" s="6">
        <f>$H$43/12</f>
        <v>1170.7097499999998</v>
      </c>
      <c r="D15" s="6">
        <f t="shared" ref="D15:I15" si="5">$H$43/12</f>
        <v>1170.7097499999998</v>
      </c>
      <c r="E15" s="6">
        <f t="shared" si="5"/>
        <v>1170.7097499999998</v>
      </c>
      <c r="F15" s="6">
        <f t="shared" si="5"/>
        <v>1170.7097499999998</v>
      </c>
      <c r="G15" s="6">
        <f t="shared" si="5"/>
        <v>1170.7097499999998</v>
      </c>
      <c r="H15" s="6">
        <f t="shared" si="5"/>
        <v>1170.7097499999998</v>
      </c>
      <c r="I15" s="6">
        <f t="shared" si="5"/>
        <v>1170.7097499999998</v>
      </c>
    </row>
    <row r="16" spans="2:9">
      <c r="B16" s="33" t="str">
        <f>'Profit and Loss Statement'!D16</f>
        <v>Equipment Costs</v>
      </c>
      <c r="C16" s="6">
        <f>$H$44/12</f>
        <v>1133.4259999999999</v>
      </c>
      <c r="D16" s="6">
        <f t="shared" ref="D16:I16" si="6">$H$44/12</f>
        <v>1133.4259999999999</v>
      </c>
      <c r="E16" s="6">
        <f t="shared" si="6"/>
        <v>1133.4259999999999</v>
      </c>
      <c r="F16" s="6">
        <f t="shared" si="6"/>
        <v>1133.4259999999999</v>
      </c>
      <c r="G16" s="6">
        <f t="shared" si="6"/>
        <v>1133.4259999999999</v>
      </c>
      <c r="H16" s="6">
        <f t="shared" si="6"/>
        <v>1133.4259999999999</v>
      </c>
      <c r="I16" s="6">
        <f t="shared" si="6"/>
        <v>1133.4259999999999</v>
      </c>
    </row>
    <row r="17" spans="2:9">
      <c r="B17" s="33" t="str">
        <f>'Profit and Loss Statement'!D17</f>
        <v>Insurance Costs</v>
      </c>
      <c r="C17" s="6">
        <f>$H$45/12</f>
        <v>968.75</v>
      </c>
      <c r="D17" s="6">
        <f t="shared" ref="D17:I17" si="7">$H$45/12</f>
        <v>968.75</v>
      </c>
      <c r="E17" s="6">
        <f t="shared" si="7"/>
        <v>968.75</v>
      </c>
      <c r="F17" s="6">
        <f t="shared" si="7"/>
        <v>968.75</v>
      </c>
      <c r="G17" s="6">
        <f t="shared" si="7"/>
        <v>968.75</v>
      </c>
      <c r="H17" s="6">
        <f t="shared" si="7"/>
        <v>968.75</v>
      </c>
      <c r="I17" s="6">
        <f t="shared" si="7"/>
        <v>968.75</v>
      </c>
    </row>
    <row r="18" spans="2:9">
      <c r="B18" s="33" t="str">
        <f>'Profit and Loss Statement'!D18</f>
        <v>Marketing</v>
      </c>
      <c r="C18" s="6">
        <f>$H$46/12</f>
        <v>894.81</v>
      </c>
      <c r="D18" s="6">
        <f t="shared" ref="D18:I18" si="8">$H$46/12</f>
        <v>894.81</v>
      </c>
      <c r="E18" s="6">
        <f t="shared" si="8"/>
        <v>894.81</v>
      </c>
      <c r="F18" s="6">
        <f t="shared" si="8"/>
        <v>894.81</v>
      </c>
      <c r="G18" s="6">
        <f t="shared" si="8"/>
        <v>894.81</v>
      </c>
      <c r="H18" s="6">
        <f t="shared" si="8"/>
        <v>894.81</v>
      </c>
      <c r="I18" s="6">
        <f t="shared" si="8"/>
        <v>894.81</v>
      </c>
    </row>
    <row r="19" spans="2:9">
      <c r="B19" s="33" t="str">
        <f>'Profit and Loss Statement'!D19</f>
        <v>Professional Fees and Licensure</v>
      </c>
      <c r="C19" s="6">
        <f>$H$47/12</f>
        <v>508.75</v>
      </c>
      <c r="D19" s="6">
        <f t="shared" ref="D19:I19" si="9">$H$47/12</f>
        <v>508.75</v>
      </c>
      <c r="E19" s="6">
        <f t="shared" si="9"/>
        <v>508.75</v>
      </c>
      <c r="F19" s="6">
        <f t="shared" si="9"/>
        <v>508.75</v>
      </c>
      <c r="G19" s="6">
        <f t="shared" si="9"/>
        <v>508.75</v>
      </c>
      <c r="H19" s="6">
        <f t="shared" si="9"/>
        <v>508.75</v>
      </c>
      <c r="I19" s="6">
        <f t="shared" si="9"/>
        <v>508.75</v>
      </c>
    </row>
    <row r="20" spans="2:9">
      <c r="B20" s="29" t="s">
        <v>14</v>
      </c>
      <c r="C20" s="6">
        <f>$H$48/12</f>
        <v>2470.3125</v>
      </c>
      <c r="D20" s="6">
        <f t="shared" ref="D20:I20" si="10">$H$48/12</f>
        <v>2470.3125</v>
      </c>
      <c r="E20" s="6">
        <f t="shared" si="10"/>
        <v>2470.3125</v>
      </c>
      <c r="F20" s="6">
        <f t="shared" si="10"/>
        <v>2470.3125</v>
      </c>
      <c r="G20" s="6">
        <f t="shared" si="10"/>
        <v>2470.3125</v>
      </c>
      <c r="H20" s="6">
        <f t="shared" si="10"/>
        <v>2470.3125</v>
      </c>
      <c r="I20" s="6">
        <f t="shared" si="10"/>
        <v>2470.3125</v>
      </c>
    </row>
    <row r="21" spans="2:9">
      <c r="B21" s="28" t="s">
        <v>8</v>
      </c>
      <c r="C21" s="6">
        <f>SUM(C13:C20)</f>
        <v>43730.67491666667</v>
      </c>
      <c r="D21" s="6">
        <f t="shared" ref="D21:I21" si="11">SUM(D13:D20)</f>
        <v>43730.67491666667</v>
      </c>
      <c r="E21" s="6">
        <f t="shared" si="11"/>
        <v>43730.67491666667</v>
      </c>
      <c r="F21" s="6">
        <f t="shared" si="11"/>
        <v>43730.67491666667</v>
      </c>
      <c r="G21" s="6">
        <f t="shared" si="11"/>
        <v>43730.67491666667</v>
      </c>
      <c r="H21" s="6">
        <f t="shared" si="11"/>
        <v>43730.67491666667</v>
      </c>
      <c r="I21" s="6">
        <f t="shared" si="11"/>
        <v>43730.67491666667</v>
      </c>
    </row>
    <row r="22" spans="2:9">
      <c r="B22" s="30"/>
    </row>
    <row r="23" spans="2:9">
      <c r="B23" s="24" t="s">
        <v>47</v>
      </c>
      <c r="C23" s="25">
        <f>C10-C21</f>
        <v>26925.57508333333</v>
      </c>
      <c r="D23" s="25">
        <f t="shared" ref="D23:I23" si="12">D10-D21</f>
        <v>26958.82508333333</v>
      </c>
      <c r="E23" s="25">
        <f t="shared" si="12"/>
        <v>26992.07508333333</v>
      </c>
      <c r="F23" s="25">
        <f t="shared" si="12"/>
        <v>27025.32508333333</v>
      </c>
      <c r="G23" s="25">
        <f t="shared" si="12"/>
        <v>27058.57508333333</v>
      </c>
      <c r="H23" s="25">
        <f t="shared" si="12"/>
        <v>27091.82508333333</v>
      </c>
      <c r="I23" s="25">
        <f t="shared" si="12"/>
        <v>27125.07508333333</v>
      </c>
    </row>
    <row r="24" spans="2:9">
      <c r="B24" s="29" t="s">
        <v>15</v>
      </c>
      <c r="C24" s="6">
        <f>(C6/$H$34)*$H$52</f>
        <v>4207.9060297142023</v>
      </c>
      <c r="D24" s="6">
        <f t="shared" ref="D24:I24" si="13">(D6/$H$34)*$H$52</f>
        <v>4209.8862207870088</v>
      </c>
      <c r="E24" s="6">
        <f t="shared" si="13"/>
        <v>4211.8664118598153</v>
      </c>
      <c r="F24" s="6">
        <f t="shared" si="13"/>
        <v>4213.8466029326228</v>
      </c>
      <c r="G24" s="6">
        <f t="shared" si="13"/>
        <v>4215.8267940054293</v>
      </c>
      <c r="H24" s="6">
        <f t="shared" si="13"/>
        <v>4217.8069850782358</v>
      </c>
      <c r="I24" s="6">
        <f t="shared" si="13"/>
        <v>4219.7871761510423</v>
      </c>
    </row>
    <row r="25" spans="2:9">
      <c r="B25" s="29" t="s">
        <v>102</v>
      </c>
      <c r="C25" s="6">
        <f>(C6/$H$34)*$H$53</f>
        <v>841.5812059428406</v>
      </c>
      <c r="D25" s="6">
        <f t="shared" ref="D25:I25" si="14">(D6/$H$34)*$H$53</f>
        <v>841.97724415740197</v>
      </c>
      <c r="E25" s="6">
        <f t="shared" si="14"/>
        <v>842.37328237196323</v>
      </c>
      <c r="F25" s="6">
        <f t="shared" si="14"/>
        <v>842.7693205865246</v>
      </c>
      <c r="G25" s="6">
        <f t="shared" si="14"/>
        <v>843.16535880108586</v>
      </c>
      <c r="H25" s="6">
        <f t="shared" si="14"/>
        <v>843.56139701564723</v>
      </c>
      <c r="I25" s="6">
        <f t="shared" si="14"/>
        <v>843.9574352302086</v>
      </c>
    </row>
    <row r="26" spans="2:9">
      <c r="B26" s="29" t="s">
        <v>16</v>
      </c>
      <c r="C26" s="6">
        <f>'Loan Amortization Table'!D14</f>
        <v>7812.4999999999991</v>
      </c>
      <c r="D26" s="6">
        <f>'Loan Amortization Table'!D15</f>
        <v>7798.3911567537643</v>
      </c>
      <c r="E26" s="6">
        <f>'Loan Amortization Table'!D16</f>
        <v>7784.1941332372407</v>
      </c>
      <c r="F26" s="6">
        <f>'Loan Amortization Table'!D17</f>
        <v>7769.9083783237384</v>
      </c>
      <c r="G26" s="6">
        <f>'Loan Amortization Table'!D18</f>
        <v>7755.5333374420279</v>
      </c>
      <c r="H26" s="6">
        <f>'Loan Amortization Table'!D19</f>
        <v>7741.0684525548049</v>
      </c>
      <c r="I26" s="6">
        <f>'Loan Amortization Table'!D20</f>
        <v>7726.5131621370374</v>
      </c>
    </row>
    <row r="27" spans="2:9">
      <c r="B27" s="29" t="s">
        <v>54</v>
      </c>
      <c r="C27" s="6">
        <f>$H$55/12</f>
        <v>2500</v>
      </c>
      <c r="D27" s="6">
        <f t="shared" ref="D27:I27" si="15">$H$55/12</f>
        <v>2500</v>
      </c>
      <c r="E27" s="6">
        <f t="shared" si="15"/>
        <v>2500</v>
      </c>
      <c r="F27" s="6">
        <f t="shared" si="15"/>
        <v>2500</v>
      </c>
      <c r="G27" s="6">
        <f t="shared" si="15"/>
        <v>2500</v>
      </c>
      <c r="H27" s="6">
        <f t="shared" si="15"/>
        <v>2500</v>
      </c>
      <c r="I27" s="6">
        <f t="shared" si="15"/>
        <v>2500</v>
      </c>
    </row>
    <row r="28" spans="2:9">
      <c r="B28" s="38" t="s">
        <v>17</v>
      </c>
      <c r="C28" s="39">
        <f>C23-SUM(C24:C27)</f>
        <v>11563.587847676288</v>
      </c>
      <c r="D28" s="39">
        <f t="shared" ref="D28:I28" si="16">D23-SUM(D24:D27)</f>
        <v>11608.570461635154</v>
      </c>
      <c r="E28" s="39">
        <f t="shared" si="16"/>
        <v>11653.64125586431</v>
      </c>
      <c r="F28" s="39">
        <f t="shared" si="16"/>
        <v>11698.800781490445</v>
      </c>
      <c r="G28" s="39">
        <f t="shared" si="16"/>
        <v>11744.049593084786</v>
      </c>
      <c r="H28" s="39">
        <f t="shared" si="16"/>
        <v>11789.388248684641</v>
      </c>
      <c r="I28" s="39">
        <f t="shared" si="16"/>
        <v>11834.81730981504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74620</v>
      </c>
      <c r="D34" s="6">
        <f>Inputs!K42</f>
        <v>74655</v>
      </c>
      <c r="E34" s="6">
        <f>Inputs!L42</f>
        <v>74690</v>
      </c>
      <c r="F34" s="6">
        <f>Inputs!M42</f>
        <v>74725</v>
      </c>
      <c r="G34" s="6">
        <f>Inputs!N42</f>
        <v>74760</v>
      </c>
      <c r="H34" s="6">
        <f>'Profit and Loss Statement'!E6</f>
        <v>894810</v>
      </c>
    </row>
    <row r="35" spans="2:8">
      <c r="B35" s="31" t="s">
        <v>52</v>
      </c>
      <c r="C35" s="6">
        <f>Inputs!J61</f>
        <v>3731</v>
      </c>
      <c r="D35" s="6">
        <f>Inputs!K61</f>
        <v>3732.75</v>
      </c>
      <c r="E35" s="6">
        <f>Inputs!L61</f>
        <v>3734.5</v>
      </c>
      <c r="F35" s="6">
        <f>Inputs!M61</f>
        <v>3736.25</v>
      </c>
      <c r="G35" s="6">
        <f>Inputs!N61</f>
        <v>3738</v>
      </c>
      <c r="H35" s="6">
        <f>'Profit and Loss Statement'!E7</f>
        <v>44740.5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70889</v>
      </c>
      <c r="D38" s="6">
        <f t="shared" ref="D38:H38" si="19">D34-D35</f>
        <v>70922.25</v>
      </c>
      <c r="E38" s="6">
        <f t="shared" si="19"/>
        <v>70955.5</v>
      </c>
      <c r="F38" s="6">
        <f t="shared" si="19"/>
        <v>70988.75</v>
      </c>
      <c r="G38" s="6">
        <f t="shared" si="19"/>
        <v>71022</v>
      </c>
      <c r="H38" s="6">
        <f t="shared" si="19"/>
        <v>850069.5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32291.666666666668</v>
      </c>
      <c r="D41" s="6">
        <f t="shared" ref="D41:G41" si="20">$H$41/12</f>
        <v>32291.666666666668</v>
      </c>
      <c r="E41" s="6">
        <f t="shared" si="20"/>
        <v>32291.666666666668</v>
      </c>
      <c r="F41" s="6">
        <f t="shared" si="20"/>
        <v>32291.666666666668</v>
      </c>
      <c r="G41" s="6">
        <f t="shared" si="20"/>
        <v>32291.666666666668</v>
      </c>
      <c r="H41" s="6">
        <f>'Profit and Loss Statement'!E13</f>
        <v>387500</v>
      </c>
    </row>
    <row r="42" spans="2:8">
      <c r="B42" s="33" t="str">
        <f>B14</f>
        <v>Facility Costs</v>
      </c>
      <c r="C42" s="6">
        <f>$H$42/12</f>
        <v>4292.25</v>
      </c>
      <c r="D42" s="6">
        <f t="shared" ref="D42:G42" si="21">$H$42/12</f>
        <v>4292.25</v>
      </c>
      <c r="E42" s="6">
        <f t="shared" si="21"/>
        <v>4292.25</v>
      </c>
      <c r="F42" s="6">
        <f t="shared" si="21"/>
        <v>4292.25</v>
      </c>
      <c r="G42" s="6">
        <f t="shared" si="21"/>
        <v>4292.25</v>
      </c>
      <c r="H42" s="6">
        <f>'Profit and Loss Statement'!E14</f>
        <v>51507</v>
      </c>
    </row>
    <row r="43" spans="2:8">
      <c r="B43" s="33" t="str">
        <f t="shared" ref="B43:B47" si="22">B15</f>
        <v>General and Administrative</v>
      </c>
      <c r="C43" s="6">
        <f>$H$43/12</f>
        <v>1170.7097499999998</v>
      </c>
      <c r="D43" s="6">
        <f t="shared" ref="D43:G43" si="23">$H$43/12</f>
        <v>1170.7097499999998</v>
      </c>
      <c r="E43" s="6">
        <f t="shared" si="23"/>
        <v>1170.7097499999998</v>
      </c>
      <c r="F43" s="6">
        <f t="shared" si="23"/>
        <v>1170.7097499999998</v>
      </c>
      <c r="G43" s="6">
        <f t="shared" si="23"/>
        <v>1170.7097499999998</v>
      </c>
      <c r="H43" s="6">
        <f>'Profit and Loss Statement'!E15</f>
        <v>14048.516999999998</v>
      </c>
    </row>
    <row r="44" spans="2:8">
      <c r="B44" s="33" t="str">
        <f t="shared" si="22"/>
        <v>Equipment Costs</v>
      </c>
      <c r="C44" s="6">
        <f>$H$44/12</f>
        <v>1133.4259999999999</v>
      </c>
      <c r="D44" s="6">
        <f t="shared" ref="D44:G44" si="24">$H$44/12</f>
        <v>1133.4259999999999</v>
      </c>
      <c r="E44" s="6">
        <f t="shared" si="24"/>
        <v>1133.4259999999999</v>
      </c>
      <c r="F44" s="6">
        <f t="shared" si="24"/>
        <v>1133.4259999999999</v>
      </c>
      <c r="G44" s="6">
        <f t="shared" si="24"/>
        <v>1133.4259999999999</v>
      </c>
      <c r="H44" s="6">
        <f>'Profit and Loss Statement'!E16</f>
        <v>13601.111999999999</v>
      </c>
    </row>
    <row r="45" spans="2:8">
      <c r="B45" s="33" t="str">
        <f t="shared" si="22"/>
        <v>Insurance Costs</v>
      </c>
      <c r="C45" s="6">
        <f>$H$45/12</f>
        <v>968.75</v>
      </c>
      <c r="D45" s="6">
        <f t="shared" ref="D45:G45" si="25">$H$45/12</f>
        <v>968.75</v>
      </c>
      <c r="E45" s="6">
        <f t="shared" si="25"/>
        <v>968.75</v>
      </c>
      <c r="F45" s="6">
        <f t="shared" si="25"/>
        <v>968.75</v>
      </c>
      <c r="G45" s="6">
        <f t="shared" si="25"/>
        <v>968.75</v>
      </c>
      <c r="H45" s="6">
        <f>'Profit and Loss Statement'!E17</f>
        <v>11625</v>
      </c>
    </row>
    <row r="46" spans="2:8">
      <c r="B46" s="33" t="str">
        <f t="shared" si="22"/>
        <v>Marketing</v>
      </c>
      <c r="C46" s="6">
        <f>$H$46/12</f>
        <v>894.81</v>
      </c>
      <c r="D46" s="6">
        <f t="shared" ref="D46:G46" si="26">$H$46/12</f>
        <v>894.81</v>
      </c>
      <c r="E46" s="6">
        <f t="shared" si="26"/>
        <v>894.81</v>
      </c>
      <c r="F46" s="6">
        <f t="shared" si="26"/>
        <v>894.81</v>
      </c>
      <c r="G46" s="6">
        <f t="shared" si="26"/>
        <v>894.81</v>
      </c>
      <c r="H46" s="6">
        <f>'Profit and Loss Statement'!E18</f>
        <v>10737.72</v>
      </c>
    </row>
    <row r="47" spans="2:8">
      <c r="B47" s="33" t="str">
        <f t="shared" si="22"/>
        <v>Professional Fees and Licensure</v>
      </c>
      <c r="C47" s="6">
        <f>$H$47/12</f>
        <v>508.75</v>
      </c>
      <c r="D47" s="6">
        <f t="shared" ref="D47:G47" si="27">$H$47/12</f>
        <v>508.75</v>
      </c>
      <c r="E47" s="6">
        <f t="shared" si="27"/>
        <v>508.75</v>
      </c>
      <c r="F47" s="6">
        <f t="shared" si="27"/>
        <v>508.75</v>
      </c>
      <c r="G47" s="6">
        <f t="shared" si="27"/>
        <v>508.75</v>
      </c>
      <c r="H47" s="6">
        <f>'Profit and Loss Statement'!E19</f>
        <v>6105</v>
      </c>
    </row>
    <row r="48" spans="2:8">
      <c r="B48" s="29" t="s">
        <v>14</v>
      </c>
      <c r="C48" s="6">
        <f>$H$48/12</f>
        <v>2470.3125</v>
      </c>
      <c r="D48" s="6">
        <f t="shared" ref="D48:G48" si="28">$H$48/12</f>
        <v>2470.3125</v>
      </c>
      <c r="E48" s="6">
        <f t="shared" si="28"/>
        <v>2470.3125</v>
      </c>
      <c r="F48" s="6">
        <f t="shared" si="28"/>
        <v>2470.3125</v>
      </c>
      <c r="G48" s="6">
        <f t="shared" si="28"/>
        <v>2470.3125</v>
      </c>
      <c r="H48" s="6">
        <f>'Profit and Loss Statement'!E20</f>
        <v>29643.75</v>
      </c>
    </row>
    <row r="49" spans="2:15">
      <c r="B49" s="28" t="s">
        <v>8</v>
      </c>
      <c r="C49" s="6">
        <f>SUM(C41:C48)</f>
        <v>43730.67491666667</v>
      </c>
      <c r="D49" s="6">
        <f t="shared" ref="D49:G49" si="29">SUM(D41:D48)</f>
        <v>43730.67491666667</v>
      </c>
      <c r="E49" s="6">
        <f t="shared" si="29"/>
        <v>43730.67491666667</v>
      </c>
      <c r="F49" s="6">
        <f t="shared" si="29"/>
        <v>43730.67491666667</v>
      </c>
      <c r="G49" s="6">
        <f t="shared" si="29"/>
        <v>43730.67491666667</v>
      </c>
      <c r="H49" s="6">
        <f>'Profit and Loss Statement'!E21</f>
        <v>524768.09899999993</v>
      </c>
    </row>
    <row r="50" spans="2:15">
      <c r="B50" s="30"/>
    </row>
    <row r="51" spans="2:15">
      <c r="B51" s="24" t="s">
        <v>47</v>
      </c>
      <c r="C51" s="25">
        <f>C38-C49</f>
        <v>27158.32508333333</v>
      </c>
      <c r="D51" s="25">
        <f t="shared" ref="D51:H51" si="30">D38-D49</f>
        <v>27191.57508333333</v>
      </c>
      <c r="E51" s="25">
        <f t="shared" si="30"/>
        <v>27224.82508333333</v>
      </c>
      <c r="F51" s="25">
        <f t="shared" si="30"/>
        <v>27258.07508333333</v>
      </c>
      <c r="G51" s="25">
        <f t="shared" si="30"/>
        <v>27291.32508333333</v>
      </c>
      <c r="H51" s="25">
        <f t="shared" si="30"/>
        <v>325301.40100000007</v>
      </c>
    </row>
    <row r="52" spans="2:15">
      <c r="B52" s="29" t="s">
        <v>15</v>
      </c>
      <c r="C52" s="6">
        <f>(C34/$H$34)*$H$52</f>
        <v>4221.7673672238489</v>
      </c>
      <c r="D52" s="6">
        <f t="shared" ref="D52:G52" si="31">(D34/$H$34)*$H$52</f>
        <v>4223.7475582966563</v>
      </c>
      <c r="E52" s="6">
        <f t="shared" si="31"/>
        <v>4225.7277493694628</v>
      </c>
      <c r="F52" s="6">
        <f t="shared" si="31"/>
        <v>4227.7079404422693</v>
      </c>
      <c r="G52" s="6">
        <f t="shared" si="31"/>
        <v>4229.6881315150758</v>
      </c>
      <c r="H52" s="6">
        <f>'Profit and Loss Statement'!E24</f>
        <v>50625.564967375671</v>
      </c>
    </row>
    <row r="53" spans="2:15">
      <c r="B53" s="29" t="s">
        <v>102</v>
      </c>
      <c r="C53" s="6">
        <f>(C34/$H$34)*$H$53</f>
        <v>844.35347344476986</v>
      </c>
      <c r="D53" s="6">
        <f t="shared" ref="D53:G53" si="32">(D34/$H$34)*$H$53</f>
        <v>844.74951165933135</v>
      </c>
      <c r="E53" s="6">
        <f t="shared" si="32"/>
        <v>845.14554987389272</v>
      </c>
      <c r="F53" s="6">
        <f t="shared" si="32"/>
        <v>845.54158808845398</v>
      </c>
      <c r="G53" s="6">
        <f t="shared" si="32"/>
        <v>845.93762630301535</v>
      </c>
      <c r="H53" s="6">
        <f>'Profit and Loss Statement'!E25</f>
        <v>10125.112993475135</v>
      </c>
    </row>
    <row r="54" spans="2:15">
      <c r="B54" s="29" t="s">
        <v>16</v>
      </c>
      <c r="C54" s="6">
        <f>'Loan Amortization Table'!D21</f>
        <v>7711.8669011541588</v>
      </c>
      <c r="D54" s="6">
        <f>'Loan Amortization Table'!D22</f>
        <v>7697.1291010401383</v>
      </c>
      <c r="E54" s="6">
        <f>'Loan Amortization Table'!D23</f>
        <v>7682.2991896754038</v>
      </c>
      <c r="F54" s="6">
        <f>'Loan Amortization Table'!D24</f>
        <v>7667.3765913646403</v>
      </c>
      <c r="G54" s="6">
        <f>'Loan Amortization Table'!D25</f>
        <v>7652.3607268144342</v>
      </c>
      <c r="H54" s="6">
        <f>'Profit and Loss Statement'!E26</f>
        <v>92799.141130497388</v>
      </c>
    </row>
    <row r="55" spans="2:15">
      <c r="B55" s="29" t="s">
        <v>54</v>
      </c>
      <c r="C55" s="6">
        <f>$H$55/12</f>
        <v>2500</v>
      </c>
      <c r="D55" s="6">
        <f t="shared" ref="D55:G55" si="33">$H$55/12</f>
        <v>2500</v>
      </c>
      <c r="E55" s="6">
        <f t="shared" si="33"/>
        <v>2500</v>
      </c>
      <c r="F55" s="6">
        <f t="shared" si="33"/>
        <v>2500</v>
      </c>
      <c r="G55" s="6">
        <f t="shared" si="33"/>
        <v>2500</v>
      </c>
      <c r="H55" s="6">
        <f>'Profit and Loss Statement'!E27</f>
        <v>30000</v>
      </c>
    </row>
    <row r="56" spans="2:15">
      <c r="B56" s="38" t="s">
        <v>17</v>
      </c>
      <c r="C56" s="39">
        <f>C51-SUM(C52:C55)</f>
        <v>11880.337341510553</v>
      </c>
      <c r="D56" s="39">
        <f t="shared" ref="D56:G56" si="34">D51-SUM(D52:D55)</f>
        <v>11925.948912337204</v>
      </c>
      <c r="E56" s="39">
        <f t="shared" si="34"/>
        <v>11971.652594414571</v>
      </c>
      <c r="F56" s="39">
        <f t="shared" si="34"/>
        <v>12017.448963437966</v>
      </c>
      <c r="G56" s="39">
        <f t="shared" si="34"/>
        <v>12063.338598700804</v>
      </c>
      <c r="H56" s="39">
        <f>'Profit and Loss Statement'!E28</f>
        <v>141751.58190865186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268443</v>
      </c>
      <c r="D62" s="6">
        <f t="shared" ref="D62:F62" si="38">$G$62*M62</f>
        <v>268443</v>
      </c>
      <c r="E62" s="6">
        <f t="shared" si="38"/>
        <v>268443</v>
      </c>
      <c r="F62" s="6">
        <f t="shared" si="38"/>
        <v>268443</v>
      </c>
      <c r="G62" s="6">
        <f>'Profit and Loss Statement'!F6</f>
        <v>1073772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13422.149999999998</v>
      </c>
      <c r="D63" s="6">
        <f t="shared" ref="D63:F63" si="39">$G$63*M62</f>
        <v>13422.149999999998</v>
      </c>
      <c r="E63" s="6">
        <f t="shared" si="39"/>
        <v>13422.149999999998</v>
      </c>
      <c r="F63" s="6">
        <f t="shared" si="39"/>
        <v>13422.149999999998</v>
      </c>
      <c r="G63" s="6">
        <f>'Profit and Loss Statement'!F7</f>
        <v>53688.599999999991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255020.85</v>
      </c>
      <c r="D66" s="6">
        <f t="shared" ref="D66:G66" si="43">D62-D63</f>
        <v>255020.85</v>
      </c>
      <c r="E66" s="6">
        <f t="shared" si="43"/>
        <v>255020.85</v>
      </c>
      <c r="F66" s="6">
        <f t="shared" si="43"/>
        <v>255020.85</v>
      </c>
      <c r="G66" s="6">
        <f t="shared" si="43"/>
        <v>1020083.4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99781.25</v>
      </c>
      <c r="D69" s="6">
        <f t="shared" ref="D69:F69" si="44">$G$69/4</f>
        <v>99781.25</v>
      </c>
      <c r="E69" s="6">
        <f t="shared" si="44"/>
        <v>99781.25</v>
      </c>
      <c r="F69" s="6">
        <f t="shared" si="44"/>
        <v>99781.25</v>
      </c>
      <c r="G69" s="6">
        <f>'Profit and Loss Statement'!F13</f>
        <v>399125</v>
      </c>
    </row>
    <row r="70" spans="2:7">
      <c r="B70" s="33" t="str">
        <f>B42</f>
        <v>Facility Costs</v>
      </c>
      <c r="C70" s="6">
        <f>$G$70/4</f>
        <v>13263.0525</v>
      </c>
      <c r="D70" s="6">
        <f t="shared" ref="D70:F70" si="45">$G$70/4</f>
        <v>13263.0525</v>
      </c>
      <c r="E70" s="6">
        <f t="shared" si="45"/>
        <v>13263.0525</v>
      </c>
      <c r="F70" s="6">
        <f t="shared" si="45"/>
        <v>13263.0525</v>
      </c>
      <c r="G70" s="6">
        <f>'Profit and Loss Statement'!F14</f>
        <v>53052.21</v>
      </c>
    </row>
    <row r="71" spans="2:7">
      <c r="B71" s="33" t="str">
        <f t="shared" ref="B71:B75" si="46">B43</f>
        <v>General and Administrative</v>
      </c>
      <c r="C71" s="6">
        <f>$G$71/4</f>
        <v>4214.5550999999996</v>
      </c>
      <c r="D71" s="6">
        <f t="shared" ref="D71:F71" si="47">$G$71/4</f>
        <v>4214.5550999999996</v>
      </c>
      <c r="E71" s="6">
        <f t="shared" si="47"/>
        <v>4214.5550999999996</v>
      </c>
      <c r="F71" s="6">
        <f t="shared" si="47"/>
        <v>4214.5550999999996</v>
      </c>
      <c r="G71" s="6">
        <f>'Profit and Loss Statement'!F15</f>
        <v>16858.220399999998</v>
      </c>
    </row>
    <row r="72" spans="2:7">
      <c r="B72" s="33" t="str">
        <f t="shared" si="46"/>
        <v>Equipment Costs</v>
      </c>
      <c r="C72" s="6">
        <f>$G$72/4</f>
        <v>4080.3335999999999</v>
      </c>
      <c r="D72" s="6">
        <f t="shared" ref="D72:F72" si="48">$G$72/4</f>
        <v>4080.3335999999999</v>
      </c>
      <c r="E72" s="6">
        <f t="shared" si="48"/>
        <v>4080.3335999999999</v>
      </c>
      <c r="F72" s="6">
        <f t="shared" si="48"/>
        <v>4080.3335999999999</v>
      </c>
      <c r="G72" s="6">
        <f>'Profit and Loss Statement'!F16</f>
        <v>16321.3344</v>
      </c>
    </row>
    <row r="73" spans="2:7">
      <c r="B73" s="33" t="str">
        <f t="shared" si="46"/>
        <v>Insurance Costs</v>
      </c>
      <c r="C73" s="6">
        <f>$G$73/4</f>
        <v>2993.4375</v>
      </c>
      <c r="D73" s="6">
        <f t="shared" ref="D73:F73" si="49">$G$73/4</f>
        <v>2993.4375</v>
      </c>
      <c r="E73" s="6">
        <f t="shared" si="49"/>
        <v>2993.4375</v>
      </c>
      <c r="F73" s="6">
        <f t="shared" si="49"/>
        <v>2993.4375</v>
      </c>
      <c r="G73" s="6">
        <f>'Profit and Loss Statement'!F17</f>
        <v>11973.75</v>
      </c>
    </row>
    <row r="74" spans="2:7">
      <c r="B74" s="33" t="str">
        <f t="shared" si="46"/>
        <v>Marketing</v>
      </c>
      <c r="C74" s="6">
        <f>$G$74/4</f>
        <v>3221.3160000000003</v>
      </c>
      <c r="D74" s="6">
        <f t="shared" ref="D74:F74" si="50">$G$74/4</f>
        <v>3221.3160000000003</v>
      </c>
      <c r="E74" s="6">
        <f t="shared" si="50"/>
        <v>3221.3160000000003</v>
      </c>
      <c r="F74" s="6">
        <f t="shared" si="50"/>
        <v>3221.3160000000003</v>
      </c>
      <c r="G74" s="6">
        <f>'Profit and Loss Statement'!F18</f>
        <v>12885.264000000001</v>
      </c>
    </row>
    <row r="75" spans="2:7">
      <c r="B75" s="33" t="str">
        <f t="shared" si="46"/>
        <v>Professional Fees and Licensure</v>
      </c>
      <c r="C75" s="6">
        <f>$G$75/4</f>
        <v>2060.4375</v>
      </c>
      <c r="D75" s="6">
        <f t="shared" ref="D75:F75" si="51">$G$75/4</f>
        <v>2060.4375</v>
      </c>
      <c r="E75" s="6">
        <f t="shared" si="51"/>
        <v>2060.4375</v>
      </c>
      <c r="F75" s="6">
        <f t="shared" si="51"/>
        <v>2060.4375</v>
      </c>
      <c r="G75" s="6">
        <f>'Profit and Loss Statement'!F19</f>
        <v>8241.75</v>
      </c>
    </row>
    <row r="76" spans="2:7">
      <c r="B76" s="29" t="s">
        <v>14</v>
      </c>
      <c r="C76" s="6">
        <f>$G$76/4</f>
        <v>7633.265625</v>
      </c>
      <c r="D76" s="6">
        <f t="shared" ref="D76:F76" si="52">$G$76/4</f>
        <v>7633.265625</v>
      </c>
      <c r="E76" s="6">
        <f t="shared" si="52"/>
        <v>7633.265625</v>
      </c>
      <c r="F76" s="6">
        <f t="shared" si="52"/>
        <v>7633.265625</v>
      </c>
      <c r="G76" s="6">
        <f>'Profit and Loss Statement'!F20</f>
        <v>30533.0625</v>
      </c>
    </row>
    <row r="77" spans="2:7">
      <c r="B77" s="28" t="s">
        <v>8</v>
      </c>
      <c r="C77" s="6">
        <f>SUM(C69:C76)</f>
        <v>137247.64782499999</v>
      </c>
      <c r="D77" s="6">
        <f t="shared" ref="D77:F77" si="53">SUM(D69:D76)</f>
        <v>137247.64782499999</v>
      </c>
      <c r="E77" s="6">
        <f t="shared" si="53"/>
        <v>137247.64782499999</v>
      </c>
      <c r="F77" s="6">
        <f t="shared" si="53"/>
        <v>137247.64782499999</v>
      </c>
      <c r="G77" s="6">
        <f>SUM(G69:G76)</f>
        <v>548990.59129999997</v>
      </c>
    </row>
    <row r="78" spans="2:7">
      <c r="B78" s="30"/>
    </row>
    <row r="79" spans="2:7">
      <c r="B79" s="24" t="s">
        <v>47</v>
      </c>
      <c r="C79" s="25">
        <f>C66-C77</f>
        <v>117773.20217500001</v>
      </c>
      <c r="D79" s="25">
        <f t="shared" ref="D79:F79" si="54">D66-D77</f>
        <v>117773.20217500001</v>
      </c>
      <c r="E79" s="25">
        <f t="shared" si="54"/>
        <v>117773.20217500001</v>
      </c>
      <c r="F79" s="25">
        <f t="shared" si="54"/>
        <v>117773.20217500001</v>
      </c>
      <c r="G79" s="25">
        <f t="shared" ref="G79" si="55">G66-G77</f>
        <v>471092.80870000005</v>
      </c>
    </row>
    <row r="80" spans="2:7">
      <c r="B80" s="29" t="s">
        <v>15</v>
      </c>
      <c r="C80" s="6">
        <f>$G$80*L62</f>
        <v>21904.404566084871</v>
      </c>
      <c r="D80" s="6">
        <f t="shared" ref="D80:F80" si="56">$G$80*M62</f>
        <v>21904.404566084871</v>
      </c>
      <c r="E80" s="6">
        <f t="shared" si="56"/>
        <v>21904.404566084871</v>
      </c>
      <c r="F80" s="6">
        <f t="shared" si="56"/>
        <v>21904.404566084871</v>
      </c>
      <c r="G80" s="6">
        <f>'Profit and Loss Statement'!F24</f>
        <v>87617.618264339486</v>
      </c>
    </row>
    <row r="81" spans="2:15">
      <c r="B81" s="29" t="s">
        <v>102</v>
      </c>
      <c r="C81" s="6">
        <f>$G$81*L62</f>
        <v>4380.8809132169745</v>
      </c>
      <c r="D81" s="6">
        <f t="shared" ref="D81:F81" si="57">$G$81*M62</f>
        <v>4380.8809132169745</v>
      </c>
      <c r="E81" s="6">
        <f t="shared" si="57"/>
        <v>4380.8809132169745</v>
      </c>
      <c r="F81" s="6">
        <f t="shared" si="57"/>
        <v>4380.8809132169745</v>
      </c>
      <c r="G81" s="6">
        <f>'Profit and Loss Statement'!F25</f>
        <v>17523.523652867898</v>
      </c>
    </row>
    <row r="82" spans="2:15">
      <c r="B82" s="29" t="s">
        <v>16</v>
      </c>
      <c r="C82" s="6">
        <f>SUM('Loan Amortization Table'!D26:D28)</f>
        <v>22866.045565155655</v>
      </c>
      <c r="D82" s="6">
        <f>SUM('Loan Amortization Table'!D29:D31)</f>
        <v>22727.488822641717</v>
      </c>
      <c r="E82" s="6">
        <f>SUM('Loan Amortization Table'!D32:D34)</f>
        <v>22586.317870260049</v>
      </c>
      <c r="F82" s="6">
        <f>SUM('Loan Amortization Table'!D35:D37)</f>
        <v>22442.483384584677</v>
      </c>
      <c r="G82" s="6">
        <f>'Profit and Loss Statement'!F26</f>
        <v>90622.335642642094</v>
      </c>
    </row>
    <row r="83" spans="2:15">
      <c r="B83" s="29" t="s">
        <v>54</v>
      </c>
      <c r="C83" s="6">
        <f>$G$83/4</f>
        <v>7500</v>
      </c>
      <c r="D83" s="6">
        <f t="shared" ref="D83:F83" si="58">$G$83/4</f>
        <v>7500</v>
      </c>
      <c r="E83" s="6">
        <f t="shared" si="58"/>
        <v>7500</v>
      </c>
      <c r="F83" s="6">
        <f t="shared" si="58"/>
        <v>7500</v>
      </c>
      <c r="G83" s="6">
        <f>'Profit and Loss Statement'!F27</f>
        <v>30000</v>
      </c>
    </row>
    <row r="84" spans="2:15">
      <c r="B84" s="38" t="s">
        <v>17</v>
      </c>
      <c r="C84" s="39">
        <f>C79-SUM(C80:C83)</f>
        <v>61121.871130542509</v>
      </c>
      <c r="D84" s="39">
        <f t="shared" ref="D84:F84" si="59">D79-SUM(D80:D83)</f>
        <v>61260.427873056455</v>
      </c>
      <c r="E84" s="39">
        <f t="shared" si="59"/>
        <v>61401.598825438123</v>
      </c>
      <c r="F84" s="39">
        <f t="shared" si="59"/>
        <v>61545.433311113491</v>
      </c>
      <c r="G84" s="39">
        <f>'Profit and Loss Statement'!F28</f>
        <v>245329.33114015058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308709.44999999995</v>
      </c>
      <c r="D92" s="6">
        <f t="shared" ref="D92:F92" si="64">$G$92*M92</f>
        <v>308709.44999999995</v>
      </c>
      <c r="E92" s="6">
        <f t="shared" si="64"/>
        <v>308709.44999999995</v>
      </c>
      <c r="F92" s="6">
        <f t="shared" si="64"/>
        <v>308709.44999999995</v>
      </c>
      <c r="G92" s="6">
        <f>'Profit and Loss Statement'!G6</f>
        <v>1234837.7999999998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15435.472499999996</v>
      </c>
      <c r="D93" s="6">
        <f t="shared" ref="D93:F93" si="65">$G$93*M92</f>
        <v>15435.472499999996</v>
      </c>
      <c r="E93" s="6">
        <f t="shared" si="65"/>
        <v>15435.472499999996</v>
      </c>
      <c r="F93" s="6">
        <f t="shared" si="65"/>
        <v>15435.472499999996</v>
      </c>
      <c r="G93" s="6">
        <f>'Profit and Loss Statement'!G7</f>
        <v>61741.889999999985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293273.97749999998</v>
      </c>
      <c r="D96" s="6">
        <f t="shared" ref="D96:G96" si="67">D92-D93</f>
        <v>293273.97749999998</v>
      </c>
      <c r="E96" s="6">
        <f t="shared" si="67"/>
        <v>293273.97749999998</v>
      </c>
      <c r="F96" s="6">
        <f t="shared" si="67"/>
        <v>293273.97749999998</v>
      </c>
      <c r="G96" s="6">
        <f t="shared" si="67"/>
        <v>1173095.9099999999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102774.6875</v>
      </c>
      <c r="D99" s="6">
        <f>$G$99/4</f>
        <v>102774.6875</v>
      </c>
      <c r="E99" s="6">
        <f>$G$99/4</f>
        <v>102774.6875</v>
      </c>
      <c r="F99" s="6">
        <f>$G$99/4</f>
        <v>102774.6875</v>
      </c>
      <c r="G99" s="6">
        <f>'Profit and Loss Statement'!G13</f>
        <v>411098.75</v>
      </c>
    </row>
    <row r="100" spans="2:7">
      <c r="B100" s="33" t="str">
        <f>B70</f>
        <v>Facility Costs</v>
      </c>
      <c r="C100" s="6">
        <f>$G$100/4</f>
        <v>13660.944074999999</v>
      </c>
      <c r="D100" s="6">
        <f t="shared" ref="D100:F100" si="68">$G$100/4</f>
        <v>13660.944074999999</v>
      </c>
      <c r="E100" s="6">
        <f t="shared" si="68"/>
        <v>13660.944074999999</v>
      </c>
      <c r="F100" s="6">
        <f t="shared" si="68"/>
        <v>13660.944074999999</v>
      </c>
      <c r="G100" s="6">
        <f>'Profit and Loss Statement'!G14</f>
        <v>54643.776299999998</v>
      </c>
    </row>
    <row r="101" spans="2:7">
      <c r="B101" s="33" t="str">
        <f t="shared" ref="B101:B105" si="69">B71</f>
        <v>General and Administrative</v>
      </c>
      <c r="C101" s="6">
        <f>$G101/4</f>
        <v>4846.7383649999992</v>
      </c>
      <c r="D101" s="6">
        <f t="shared" ref="D101:F101" si="70">$G101/4</f>
        <v>4846.7383649999992</v>
      </c>
      <c r="E101" s="6">
        <f t="shared" si="70"/>
        <v>4846.7383649999992</v>
      </c>
      <c r="F101" s="6">
        <f t="shared" si="70"/>
        <v>4846.7383649999992</v>
      </c>
      <c r="G101" s="6">
        <f>'Profit and Loss Statement'!G15</f>
        <v>19386.953459999997</v>
      </c>
    </row>
    <row r="102" spans="2:7">
      <c r="B102" s="33" t="str">
        <f t="shared" si="69"/>
        <v>Equipment Costs</v>
      </c>
      <c r="C102" s="6">
        <f>$G$102/4</f>
        <v>4692.3836399999991</v>
      </c>
      <c r="D102" s="6">
        <f t="shared" ref="D102:F102" si="71">$G$102/4</f>
        <v>4692.3836399999991</v>
      </c>
      <c r="E102" s="6">
        <f t="shared" si="71"/>
        <v>4692.3836399999991</v>
      </c>
      <c r="F102" s="6">
        <f t="shared" si="71"/>
        <v>4692.3836399999991</v>
      </c>
      <c r="G102" s="6">
        <f>'Profit and Loss Statement'!G16</f>
        <v>18769.534559999996</v>
      </c>
    </row>
    <row r="103" spans="2:7">
      <c r="B103" s="33" t="str">
        <f t="shared" si="69"/>
        <v>Insurance Costs</v>
      </c>
      <c r="C103" s="6">
        <f>$G$103/4</f>
        <v>3083.2406249999999</v>
      </c>
      <c r="D103" s="6">
        <f t="shared" ref="D103:F103" si="72">$G$103/4</f>
        <v>3083.2406249999999</v>
      </c>
      <c r="E103" s="6">
        <f t="shared" si="72"/>
        <v>3083.2406249999999</v>
      </c>
      <c r="F103" s="6">
        <f t="shared" si="72"/>
        <v>3083.2406249999999</v>
      </c>
      <c r="G103" s="6">
        <f>'Profit and Loss Statement'!G17</f>
        <v>12332.9625</v>
      </c>
    </row>
    <row r="104" spans="2:7">
      <c r="B104" s="33" t="str">
        <f t="shared" si="69"/>
        <v>Marketing</v>
      </c>
      <c r="C104" s="6">
        <f>$G$104/4</f>
        <v>3704.5133999999994</v>
      </c>
      <c r="D104" s="6">
        <f t="shared" ref="D104:F104" si="73">$G$104/4</f>
        <v>3704.5133999999994</v>
      </c>
      <c r="E104" s="6">
        <f t="shared" si="73"/>
        <v>3704.5133999999994</v>
      </c>
      <c r="F104" s="6">
        <f t="shared" si="73"/>
        <v>3704.5133999999994</v>
      </c>
      <c r="G104" s="6">
        <f>'Profit and Loss Statement'!G18</f>
        <v>14818.053599999997</v>
      </c>
    </row>
    <row r="105" spans="2:7">
      <c r="B105" s="33" t="str">
        <f t="shared" si="69"/>
        <v>Professional Fees and Licensure</v>
      </c>
      <c r="C105" s="6">
        <f>$G$105/4</f>
        <v>2781.5906250000003</v>
      </c>
      <c r="D105" s="6">
        <f t="shared" ref="D105:F105" si="74">$G$105/4</f>
        <v>2781.5906250000003</v>
      </c>
      <c r="E105" s="6">
        <f t="shared" si="74"/>
        <v>2781.5906250000003</v>
      </c>
      <c r="F105" s="6">
        <f t="shared" si="74"/>
        <v>2781.5906250000003</v>
      </c>
      <c r="G105" s="6">
        <f>'Profit and Loss Statement'!G19</f>
        <v>11126.362500000001</v>
      </c>
    </row>
    <row r="106" spans="2:7">
      <c r="B106" s="29" t="s">
        <v>14</v>
      </c>
      <c r="C106" s="6">
        <f>$G$106/4</f>
        <v>7862.2635937499999</v>
      </c>
      <c r="D106" s="6">
        <f t="shared" ref="D106:F106" si="75">$G$106/4</f>
        <v>7862.2635937499999</v>
      </c>
      <c r="E106" s="6">
        <f t="shared" si="75"/>
        <v>7862.2635937499999</v>
      </c>
      <c r="F106" s="6">
        <f t="shared" si="75"/>
        <v>7862.2635937499999</v>
      </c>
      <c r="G106" s="6">
        <f>'Profit and Loss Statement'!G20</f>
        <v>31449.054375</v>
      </c>
    </row>
    <row r="107" spans="2:7">
      <c r="B107" s="28" t="s">
        <v>8</v>
      </c>
      <c r="C107" s="6">
        <f>SUM(C99:C106)</f>
        <v>143406.36182375002</v>
      </c>
      <c r="D107" s="6">
        <f t="shared" ref="D107:F107" si="76">SUM(D99:D106)</f>
        <v>143406.36182375002</v>
      </c>
      <c r="E107" s="6">
        <f t="shared" si="76"/>
        <v>143406.36182375002</v>
      </c>
      <c r="F107" s="6">
        <f t="shared" si="76"/>
        <v>143406.36182375002</v>
      </c>
      <c r="G107" s="6">
        <f>SUM(G99:G106)</f>
        <v>573625.44729500008</v>
      </c>
    </row>
    <row r="108" spans="2:7">
      <c r="B108" s="30"/>
    </row>
    <row r="109" spans="2:7">
      <c r="B109" s="24" t="s">
        <v>47</v>
      </c>
      <c r="C109" s="25">
        <f>C96-C107</f>
        <v>149867.61567624996</v>
      </c>
      <c r="D109" s="25">
        <f t="shared" ref="D109:G109" si="77">D96-D107</f>
        <v>149867.61567624996</v>
      </c>
      <c r="E109" s="25">
        <f t="shared" si="77"/>
        <v>149867.61567624996</v>
      </c>
      <c r="F109" s="25">
        <f t="shared" si="77"/>
        <v>149867.61567624996</v>
      </c>
      <c r="G109" s="25">
        <f t="shared" si="77"/>
        <v>599470.46270499984</v>
      </c>
    </row>
    <row r="110" spans="2:7">
      <c r="B110" s="29" t="s">
        <v>15</v>
      </c>
      <c r="C110" s="6">
        <f>$G$110*L92</f>
        <v>30074.620226089959</v>
      </c>
      <c r="D110" s="6">
        <f t="shared" ref="D110:F110" si="78">$G$110*M92</f>
        <v>30074.620226089959</v>
      </c>
      <c r="E110" s="6">
        <f t="shared" si="78"/>
        <v>30074.620226089959</v>
      </c>
      <c r="F110" s="6">
        <f t="shared" si="78"/>
        <v>30074.620226089959</v>
      </c>
      <c r="G110" s="6">
        <f>'Profit and Loss Statement'!G24</f>
        <v>120298.48090435984</v>
      </c>
    </row>
    <row r="111" spans="2:7">
      <c r="B111" s="29" t="s">
        <v>102</v>
      </c>
      <c r="C111" s="6">
        <f>$G$111*L92</f>
        <v>6014.924045217992</v>
      </c>
      <c r="D111" s="6">
        <f t="shared" ref="D111:F111" si="79">$G$111*M92</f>
        <v>6014.924045217992</v>
      </c>
      <c r="E111" s="6">
        <f t="shared" si="79"/>
        <v>6014.924045217992</v>
      </c>
      <c r="F111" s="6">
        <f t="shared" si="79"/>
        <v>6014.924045217992</v>
      </c>
      <c r="G111" s="6">
        <f>'Profit and Loss Statement'!G25</f>
        <v>24059.696180871968</v>
      </c>
    </row>
    <row r="112" spans="2:7">
      <c r="B112" s="29" t="s">
        <v>16</v>
      </c>
      <c r="C112" s="6">
        <f>SUM('Loan Amortization Table'!D38:D40)</f>
        <v>22295.935111583258</v>
      </c>
      <c r="D112" s="6">
        <f>SUM('Loan Amortization Table'!D41:D43)</f>
        <v>22146.621849058934</v>
      </c>
      <c r="E112" s="6">
        <f>SUM('Loan Amortization Table'!D44:D46)</f>
        <v>21994.491428760899</v>
      </c>
      <c r="F112" s="6">
        <f>SUM('Loan Amortization Table'!D47:D49)</f>
        <v>21839.490698157424</v>
      </c>
      <c r="G112" s="6">
        <f>'Profit and Loss Statement'!G26</f>
        <v>88276.539087560523</v>
      </c>
    </row>
    <row r="113" spans="2:15">
      <c r="B113" s="29" t="s">
        <v>54</v>
      </c>
      <c r="C113" s="6">
        <f>$G$113/4</f>
        <v>7500</v>
      </c>
      <c r="D113" s="6">
        <f>$G$113/4</f>
        <v>7500</v>
      </c>
      <c r="E113" s="6">
        <f>$G$113/4</f>
        <v>7500</v>
      </c>
      <c r="F113" s="6">
        <f>$G$113/4</f>
        <v>7500</v>
      </c>
      <c r="G113" s="6">
        <f>'Profit and Loss Statement'!G27</f>
        <v>30000</v>
      </c>
    </row>
    <row r="114" spans="2:15">
      <c r="B114" s="38" t="s">
        <v>17</v>
      </c>
      <c r="C114" s="39">
        <f>C109-SUM(C110:C113)</f>
        <v>83982.136293358752</v>
      </c>
      <c r="D114" s="39">
        <f t="shared" ref="D114:F114" si="80">D109-SUM(D110:D113)</f>
        <v>84131.449555883068</v>
      </c>
      <c r="E114" s="39">
        <f t="shared" si="80"/>
        <v>84283.579976181107</v>
      </c>
      <c r="F114" s="39">
        <f t="shared" si="80"/>
        <v>84438.580706784589</v>
      </c>
      <c r="G114" s="39">
        <f>'Profit and Loss Statement'!G28</f>
        <v>336835.74653220747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T15" sqref="T15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14063.587847676288</v>
      </c>
      <c r="E6" s="13">
        <f>'Expanded Profit and Loss'!D28+'Expanded Profit and Loss'!D27</f>
        <v>14108.570461635154</v>
      </c>
      <c r="F6" s="13">
        <f>'Expanded Profit and Loss'!E28+'Expanded Profit and Loss'!E27</f>
        <v>14153.64125586431</v>
      </c>
      <c r="G6" s="13">
        <f>'Expanded Profit and Loss'!F28+'Expanded Profit and Loss'!F27</f>
        <v>14198.800781490445</v>
      </c>
      <c r="H6" s="13">
        <f>'Expanded Profit and Loss'!G28+'Expanded Profit and Loss'!G27</f>
        <v>14244.049593084786</v>
      </c>
      <c r="I6" s="13">
        <f>'Expanded Profit and Loss'!H28+'Expanded Profit and Loss'!H27</f>
        <v>14289.388248684641</v>
      </c>
      <c r="J6" s="13">
        <f>'Expanded Profit and Loss'!I28+'Expanded Profit and Loss'!I27</f>
        <v>14334.81730981504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250000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1250000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431.66666666666669</v>
      </c>
      <c r="E11" s="13">
        <f t="shared" ref="E11:J11" si="1">$I$36/12</f>
        <v>431.66666666666669</v>
      </c>
      <c r="F11" s="13">
        <f t="shared" si="1"/>
        <v>431.66666666666669</v>
      </c>
      <c r="G11" s="13">
        <f t="shared" si="1"/>
        <v>431.66666666666669</v>
      </c>
      <c r="H11" s="13">
        <f t="shared" si="1"/>
        <v>431.66666666666669</v>
      </c>
      <c r="I11" s="13">
        <f t="shared" si="1"/>
        <v>431.66666666666669</v>
      </c>
      <c r="J11" s="13">
        <f t="shared" si="1"/>
        <v>431.66666666666669</v>
      </c>
    </row>
    <row r="12" spans="3:10">
      <c r="C12" s="37" t="s">
        <v>23</v>
      </c>
      <c r="D12" s="26">
        <f>SUM(D9:D11)</f>
        <v>1500431.6666666667</v>
      </c>
      <c r="E12" s="26">
        <f t="shared" ref="E12:J12" si="2">SUM(E9:E11)</f>
        <v>431.66666666666669</v>
      </c>
      <c r="F12" s="26">
        <f t="shared" si="2"/>
        <v>431.66666666666669</v>
      </c>
      <c r="G12" s="26">
        <f t="shared" si="2"/>
        <v>431.66666666666669</v>
      </c>
      <c r="H12" s="26">
        <f t="shared" si="2"/>
        <v>431.66666666666669</v>
      </c>
      <c r="I12" s="26">
        <f t="shared" si="2"/>
        <v>431.66666666666669</v>
      </c>
      <c r="J12" s="26">
        <f t="shared" si="2"/>
        <v>431.66666666666669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1514495.2545143431</v>
      </c>
      <c r="E15" s="27">
        <f t="shared" ref="E15:J15" si="3">E6+E12</f>
        <v>14540.23712830182</v>
      </c>
      <c r="F15" s="27">
        <f t="shared" si="3"/>
        <v>14585.307922530976</v>
      </c>
      <c r="G15" s="27">
        <f t="shared" si="3"/>
        <v>14630.467448157111</v>
      </c>
      <c r="H15" s="27">
        <f t="shared" si="3"/>
        <v>14675.716259751453</v>
      </c>
      <c r="I15" s="27">
        <f t="shared" si="3"/>
        <v>14721.054915351307</v>
      </c>
      <c r="J15" s="27">
        <f t="shared" si="3"/>
        <v>14766.483976481706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2257.4149193975909</v>
      </c>
      <c r="E18" s="6">
        <f>'Loan Amortization Table'!C15</f>
        <v>2271.5237626438256</v>
      </c>
      <c r="F18" s="6">
        <f>'Loan Amortization Table'!C16</f>
        <v>2285.7207861603492</v>
      </c>
      <c r="G18" s="6">
        <f>'Loan Amortization Table'!C17</f>
        <v>2300.0065410738516</v>
      </c>
      <c r="H18" s="6">
        <f>'Loan Amortization Table'!C18</f>
        <v>2314.3815819555621</v>
      </c>
      <c r="I18" s="6">
        <f>'Loan Amortization Table'!C19</f>
        <v>2328.846466842785</v>
      </c>
      <c r="J18" s="6">
        <f>'Loan Amortization Table'!C20</f>
        <v>2343.4017572605526</v>
      </c>
    </row>
    <row r="19" spans="3:10">
      <c r="C19" s="12" t="s">
        <v>25</v>
      </c>
      <c r="D19" s="13">
        <f>$I$44/12</f>
        <v>302.16666666666663</v>
      </c>
      <c r="E19" s="13">
        <f t="shared" ref="E19:J19" si="4">$I$44/12</f>
        <v>302.16666666666663</v>
      </c>
      <c r="F19" s="13">
        <f t="shared" si="4"/>
        <v>302.16666666666663</v>
      </c>
      <c r="G19" s="13">
        <f t="shared" si="4"/>
        <v>302.16666666666663</v>
      </c>
      <c r="H19" s="13">
        <f t="shared" si="4"/>
        <v>302.16666666666663</v>
      </c>
      <c r="I19" s="13">
        <f t="shared" si="4"/>
        <v>302.16666666666663</v>
      </c>
      <c r="J19" s="13">
        <f t="shared" si="4"/>
        <v>302.16666666666663</v>
      </c>
    </row>
    <row r="20" spans="3:10">
      <c r="C20" s="31" t="s">
        <v>33</v>
      </c>
      <c r="D20" s="6">
        <f>I45</f>
        <v>1375000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1377559.5815860643</v>
      </c>
      <c r="E22" s="26">
        <f t="shared" ref="E22:J22" si="5">SUM(E18:E21)</f>
        <v>2573.6904293104922</v>
      </c>
      <c r="F22" s="26">
        <f t="shared" si="5"/>
        <v>2587.8874528270157</v>
      </c>
      <c r="G22" s="26">
        <f t="shared" si="5"/>
        <v>2602.1732077405181</v>
      </c>
      <c r="H22" s="26">
        <f t="shared" si="5"/>
        <v>2616.5482486222286</v>
      </c>
      <c r="I22" s="26">
        <f t="shared" si="5"/>
        <v>2631.0131335094516</v>
      </c>
      <c r="J22" s="26">
        <f t="shared" si="5"/>
        <v>2645.5684239272191</v>
      </c>
    </row>
    <row r="23" spans="3:10">
      <c r="C23" s="30"/>
    </row>
    <row r="24" spans="3:10">
      <c r="C24" s="42" t="s">
        <v>27</v>
      </c>
      <c r="D24" s="25">
        <f>D15-D22</f>
        <v>136935.6729282788</v>
      </c>
      <c r="E24" s="25">
        <f t="shared" ref="E24:J24" si="6">E15-E22</f>
        <v>11966.546698991328</v>
      </c>
      <c r="F24" s="25">
        <f t="shared" si="6"/>
        <v>11997.42046970396</v>
      </c>
      <c r="G24" s="25">
        <f t="shared" si="6"/>
        <v>12028.294240416593</v>
      </c>
      <c r="H24" s="25">
        <f t="shared" si="6"/>
        <v>12059.168011129224</v>
      </c>
      <c r="I24" s="25">
        <f t="shared" si="6"/>
        <v>12090.041781841855</v>
      </c>
      <c r="J24" s="25">
        <f t="shared" si="6"/>
        <v>12120.915552554487</v>
      </c>
    </row>
    <row r="25" spans="3:10">
      <c r="C25" s="42" t="s">
        <v>6</v>
      </c>
      <c r="D25" s="25">
        <f>D24</f>
        <v>136935.6729282788</v>
      </c>
      <c r="E25" s="25">
        <f>D25+E24</f>
        <v>148902.21962727013</v>
      </c>
      <c r="F25" s="25">
        <f t="shared" ref="F25:J25" si="7">E25+F24</f>
        <v>160899.64009697409</v>
      </c>
      <c r="G25" s="25">
        <f t="shared" si="7"/>
        <v>172927.93433739067</v>
      </c>
      <c r="H25" s="25">
        <f t="shared" si="7"/>
        <v>184987.1023485199</v>
      </c>
      <c r="I25" s="25">
        <f t="shared" si="7"/>
        <v>197077.14413036176</v>
      </c>
      <c r="J25" s="25">
        <f t="shared" si="7"/>
        <v>209198.05968291624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14380.337341510553</v>
      </c>
      <c r="E31" s="13">
        <f>'Expanded Profit and Loss'!D56+'Expanded Profit and Loss'!D55</f>
        <v>14425.948912337204</v>
      </c>
      <c r="F31" s="13">
        <f>'Expanded Profit and Loss'!E56+'Expanded Profit and Loss'!E55</f>
        <v>14471.652594414571</v>
      </c>
      <c r="G31" s="13">
        <f>'Expanded Profit and Loss'!F56+'Expanded Profit and Loss'!F55</f>
        <v>14517.448963437966</v>
      </c>
      <c r="H31" s="13">
        <f>'Expanded Profit and Loss'!G56+'Expanded Profit and Loss'!G55</f>
        <v>14563.338598700804</v>
      </c>
      <c r="I31" s="13">
        <f>'Cash Flow Analysis'!E6</f>
        <v>171751.58190865186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250000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1250000</v>
      </c>
      <c r="J35" s="30"/>
    </row>
    <row r="36" spans="3:10">
      <c r="C36" s="12" t="s">
        <v>22</v>
      </c>
      <c r="D36" s="13">
        <f>$I$36/12</f>
        <v>431.66666666666669</v>
      </c>
      <c r="E36" s="13">
        <f t="shared" ref="E36:H36" si="11">$I$36/12</f>
        <v>431.66666666666669</v>
      </c>
      <c r="F36" s="13">
        <f t="shared" si="11"/>
        <v>431.66666666666669</v>
      </c>
      <c r="G36" s="13">
        <f t="shared" si="11"/>
        <v>431.66666666666669</v>
      </c>
      <c r="H36" s="13">
        <f t="shared" si="11"/>
        <v>431.66666666666669</v>
      </c>
      <c r="I36" s="20">
        <f>'Cash Flow Analysis'!E11</f>
        <v>5180</v>
      </c>
      <c r="J36" s="30"/>
    </row>
    <row r="37" spans="3:10">
      <c r="C37" s="37" t="s">
        <v>23</v>
      </c>
      <c r="D37" s="26">
        <f>SUM(D34:D36)</f>
        <v>431.66666666666669</v>
      </c>
      <c r="E37" s="26">
        <f t="shared" ref="E37:H37" si="12">SUM(E34:E36)</f>
        <v>431.66666666666669</v>
      </c>
      <c r="F37" s="26">
        <f t="shared" si="12"/>
        <v>431.66666666666669</v>
      </c>
      <c r="G37" s="26">
        <f t="shared" si="12"/>
        <v>431.66666666666669</v>
      </c>
      <c r="H37" s="26">
        <f t="shared" si="12"/>
        <v>431.66666666666669</v>
      </c>
      <c r="I37" s="44">
        <f>'Cash Flow Analysis'!E12</f>
        <v>1505180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14812.004008177219</v>
      </c>
      <c r="E40" s="27">
        <f t="shared" ref="E40:H40" si="13">E31+E37</f>
        <v>14857.61557900387</v>
      </c>
      <c r="F40" s="27">
        <f t="shared" si="13"/>
        <v>14903.319261081237</v>
      </c>
      <c r="G40" s="27">
        <f t="shared" si="13"/>
        <v>14949.115630104632</v>
      </c>
      <c r="H40" s="27">
        <f t="shared" si="13"/>
        <v>14995.00526536747</v>
      </c>
      <c r="I40" s="36">
        <f>'Cash Flow Analysis'!E15</f>
        <v>1676931.5819086519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2358.0480182434312</v>
      </c>
      <c r="E43" s="6">
        <f>'Loan Amortization Table'!C22</f>
        <v>2372.7858183574517</v>
      </c>
      <c r="F43" s="6">
        <f>'Loan Amortization Table'!C23</f>
        <v>2387.6157297221862</v>
      </c>
      <c r="G43" s="6">
        <f>'Loan Amortization Table'!C24</f>
        <v>2402.5383280329497</v>
      </c>
      <c r="H43" s="6">
        <f>'Loan Amortization Table'!C25</f>
        <v>2417.5541925831558</v>
      </c>
      <c r="I43" s="6">
        <f>'Cash Flow Analysis'!E18</f>
        <v>28039.837902273692</v>
      </c>
      <c r="J43" s="30"/>
    </row>
    <row r="44" spans="3:10">
      <c r="C44" s="12" t="s">
        <v>25</v>
      </c>
      <c r="D44" s="13">
        <f>$I$44/12</f>
        <v>302.16666666666663</v>
      </c>
      <c r="E44" s="13">
        <f t="shared" ref="E44:H44" si="14">$I$44/12</f>
        <v>302.16666666666663</v>
      </c>
      <c r="F44" s="13">
        <f t="shared" si="14"/>
        <v>302.16666666666663</v>
      </c>
      <c r="G44" s="13">
        <f t="shared" si="14"/>
        <v>302.16666666666663</v>
      </c>
      <c r="H44" s="13">
        <f t="shared" si="14"/>
        <v>302.16666666666663</v>
      </c>
      <c r="I44" s="13">
        <f>'Cash Flow Analysis'!E19</f>
        <v>3625.9999999999995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1375000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120226.10733605629</v>
      </c>
      <c r="I46" s="13">
        <f>'Cash Flow Analysis'!E21</f>
        <v>120226.10733605629</v>
      </c>
      <c r="J46" s="30"/>
    </row>
    <row r="47" spans="3:10">
      <c r="C47" s="37" t="s">
        <v>26</v>
      </c>
      <c r="D47" s="26">
        <f>SUM(D43:D46)</f>
        <v>2660.2146849100977</v>
      </c>
      <c r="E47" s="26">
        <f t="shared" ref="E47:H47" si="15">SUM(E43:E46)</f>
        <v>2674.9524850241182</v>
      </c>
      <c r="F47" s="26">
        <f t="shared" si="15"/>
        <v>2689.7823963888527</v>
      </c>
      <c r="G47" s="26">
        <f t="shared" si="15"/>
        <v>2704.7049946996162</v>
      </c>
      <c r="H47" s="26">
        <f t="shared" si="15"/>
        <v>122945.82819530611</v>
      </c>
      <c r="I47" s="26">
        <f>'Cash Flow Analysis'!E22</f>
        <v>1526891.9452383299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12151.789323267121</v>
      </c>
      <c r="E49" s="25">
        <f t="shared" ref="E49:H49" si="16">E40-E47</f>
        <v>12182.663093979752</v>
      </c>
      <c r="F49" s="25">
        <f t="shared" si="16"/>
        <v>12213.536864692383</v>
      </c>
      <c r="G49" s="25">
        <f t="shared" si="16"/>
        <v>12244.410635405016</v>
      </c>
      <c r="H49" s="25">
        <f t="shared" si="16"/>
        <v>-107950.82292993864</v>
      </c>
      <c r="I49" s="45">
        <f>'Cash Flow Analysis'!E24</f>
        <v>150039.63667032192</v>
      </c>
      <c r="J49" s="30"/>
    </row>
    <row r="50" spans="3:10">
      <c r="C50" s="42" t="s">
        <v>6</v>
      </c>
      <c r="D50" s="25">
        <f>J25+D49</f>
        <v>221349.84900618336</v>
      </c>
      <c r="E50" s="25">
        <f>D50+E49</f>
        <v>233532.51210016312</v>
      </c>
      <c r="F50" s="25">
        <f t="shared" ref="F50:H50" si="17">E50+F49</f>
        <v>245746.04896485549</v>
      </c>
      <c r="G50" s="25">
        <f t="shared" si="17"/>
        <v>257990.45960026051</v>
      </c>
      <c r="H50" s="25">
        <f t="shared" si="17"/>
        <v>150039.63667032187</v>
      </c>
      <c r="I50" s="45">
        <f>'Cash Flow Analysis'!E25</f>
        <v>150039.63667032192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68621.871130542509</v>
      </c>
      <c r="E58" s="48">
        <f>'Expanded Profit and Loss'!D84+'Expanded Profit and Loss'!D83</f>
        <v>68760.427873056455</v>
      </c>
      <c r="F58" s="48">
        <f>'Expanded Profit and Loss'!E84+'Expanded Profit and Loss'!E83</f>
        <v>68901.598825438123</v>
      </c>
      <c r="G58" s="48">
        <f>'Expanded Profit and Loss'!F84+'Expanded Profit and Loss'!F83</f>
        <v>69045.433311113491</v>
      </c>
      <c r="H58" s="46">
        <f>'Cash Flow Analysis'!F6</f>
        <v>275329.33114015055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1320.9</v>
      </c>
      <c r="E63" s="49">
        <f>$H$63/4</f>
        <v>1320.9</v>
      </c>
      <c r="F63" s="49">
        <f>$H$63/4</f>
        <v>1320.9</v>
      </c>
      <c r="G63" s="49">
        <f>$H$63/4</f>
        <v>1320.9</v>
      </c>
      <c r="H63" s="13">
        <f>'Cash Flow Analysis'!F11</f>
        <v>5283.6</v>
      </c>
    </row>
    <row r="64" spans="3:10">
      <c r="C64" s="37" t="s">
        <v>23</v>
      </c>
      <c r="D64" s="51">
        <f>SUM(D61:D63)</f>
        <v>1320.9</v>
      </c>
      <c r="E64" s="51">
        <f t="shared" ref="E64:G64" si="18">SUM(E61:E63)</f>
        <v>1320.9</v>
      </c>
      <c r="F64" s="51">
        <f t="shared" si="18"/>
        <v>1320.9</v>
      </c>
      <c r="G64" s="51">
        <f t="shared" si="18"/>
        <v>1320.9</v>
      </c>
      <c r="H64" s="32">
        <f>'Cash Flow Analysis'!F12</f>
        <v>5283.6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69942.771130542504</v>
      </c>
      <c r="E67" s="48">
        <f t="shared" ref="E67:G67" si="19">E58+E64</f>
        <v>70081.327873056449</v>
      </c>
      <c r="F67" s="48">
        <f t="shared" si="19"/>
        <v>70222.498825438117</v>
      </c>
      <c r="G67" s="48">
        <f t="shared" si="19"/>
        <v>70366.333311113485</v>
      </c>
      <c r="H67" s="27">
        <f>'Cash Flow Analysis'!F15</f>
        <v>280612.93114015053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7343.699193037115</v>
      </c>
      <c r="E70" s="50">
        <f>SUM('Loan Amortization Table'!C29:C31)</f>
        <v>7482.2559355510512</v>
      </c>
      <c r="F70" s="50">
        <f>SUM('Loan Amortization Table'!C32:C34)</f>
        <v>7623.4268879327192</v>
      </c>
      <c r="G70" s="50">
        <f>SUM('Loan Amortization Table'!C35:C37)</f>
        <v>7767.2613736080939</v>
      </c>
      <c r="H70" s="32">
        <f>'Cash Flow Analysis'!F18</f>
        <v>30216.643390128986</v>
      </c>
    </row>
    <row r="71" spans="3:8">
      <c r="C71" s="12" t="s">
        <v>25</v>
      </c>
      <c r="D71" s="49">
        <f>$H$71/4</f>
        <v>924.63</v>
      </c>
      <c r="E71" s="49">
        <f>$H$71/4</f>
        <v>924.63</v>
      </c>
      <c r="F71" s="49">
        <f>$H$71/4</f>
        <v>924.63</v>
      </c>
      <c r="G71" s="49">
        <f>$H$71/4</f>
        <v>924.63</v>
      </c>
      <c r="H71" s="13">
        <f>'Cash Flow Analysis'!F19</f>
        <v>3698.52</v>
      </c>
    </row>
    <row r="72" spans="3:8">
      <c r="C72" s="31" t="s">
        <v>33</v>
      </c>
      <c r="D72" s="50">
        <f>H72</f>
        <v>13766.466557007529</v>
      </c>
      <c r="E72" s="50">
        <v>0</v>
      </c>
      <c r="F72" s="50">
        <v>0</v>
      </c>
      <c r="G72" s="50">
        <v>0</v>
      </c>
      <c r="H72" s="32">
        <f>'Cash Flow Analysis'!F20</f>
        <v>13766.466557007529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192730.53179810537</v>
      </c>
      <c r="H73" s="13">
        <f>'Cash Flow Analysis'!F21</f>
        <v>192730.53179810537</v>
      </c>
    </row>
    <row r="74" spans="3:8">
      <c r="C74" s="37" t="s">
        <v>26</v>
      </c>
      <c r="D74" s="51">
        <f>SUM(D70:D73)</f>
        <v>22034.795750044643</v>
      </c>
      <c r="E74" s="51">
        <f t="shared" ref="E74:G74" si="20">SUM(E70:E73)</f>
        <v>8406.8859355510504</v>
      </c>
      <c r="F74" s="51">
        <f t="shared" si="20"/>
        <v>8548.0568879327184</v>
      </c>
      <c r="G74" s="51">
        <f t="shared" si="20"/>
        <v>201422.42317171345</v>
      </c>
      <c r="H74" s="34">
        <f>'Cash Flow Analysis'!F22</f>
        <v>240412.16174524187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47907.975380497861</v>
      </c>
      <c r="E76" s="52">
        <f t="shared" ref="E76:G76" si="21">E67-E74</f>
        <v>61674.441937505399</v>
      </c>
      <c r="F76" s="52">
        <f t="shared" si="21"/>
        <v>61674.441937505399</v>
      </c>
      <c r="G76" s="52">
        <f t="shared" si="21"/>
        <v>-131056.08986059997</v>
      </c>
      <c r="H76" s="40">
        <f>'Cash Flow Analysis'!F24</f>
        <v>40200.769394908653</v>
      </c>
    </row>
    <row r="77" spans="3:8">
      <c r="C77" s="42" t="s">
        <v>6</v>
      </c>
      <c r="D77" s="52">
        <f>I50+D76</f>
        <v>197947.61205081979</v>
      </c>
      <c r="E77" s="52">
        <f>D77+E76</f>
        <v>259622.05398832518</v>
      </c>
      <c r="F77" s="52">
        <f t="shared" ref="F77:G77" si="22">E77+F76</f>
        <v>321296.49592583056</v>
      </c>
      <c r="G77" s="52">
        <f t="shared" si="22"/>
        <v>190240.40606523061</v>
      </c>
      <c r="H77" s="40">
        <f>'Cash Flow Analysis'!F25</f>
        <v>190240.40606523058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91482.136293358752</v>
      </c>
      <c r="E84" s="48">
        <f>'Expanded Profit and Loss'!D114+'Expanded Profit and Loss'!D113</f>
        <v>91631.449555883068</v>
      </c>
      <c r="F84" s="48">
        <f>'Expanded Profit and Loss'!E114+'Expanded Profit and Loss'!E113</f>
        <v>91783.579976181107</v>
      </c>
      <c r="G84" s="48">
        <f>'Expanded Profit and Loss'!F114+'Expanded Profit and Loss'!F113</f>
        <v>91938.580706784589</v>
      </c>
      <c r="H84" s="27">
        <f>'Cash Flow Analysis'!G6</f>
        <v>366835.74653220747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1347.3180000000002</v>
      </c>
      <c r="E89" s="49">
        <f>$H$89/4</f>
        <v>1347.3180000000002</v>
      </c>
      <c r="F89" s="49">
        <f>$H$89/4</f>
        <v>1347.3180000000002</v>
      </c>
      <c r="G89" s="49">
        <f>$H$89/4</f>
        <v>1347.3180000000002</v>
      </c>
      <c r="H89" s="13">
        <f>'Cash Flow Analysis'!G12</f>
        <v>5389.2720000000008</v>
      </c>
    </row>
    <row r="90" spans="3:8">
      <c r="C90" s="37" t="s">
        <v>23</v>
      </c>
      <c r="D90" s="51">
        <f>SUM(D87:D89)</f>
        <v>1347.3180000000002</v>
      </c>
      <c r="E90" s="51">
        <f t="shared" ref="E90:G90" si="23">SUM(E87:E89)</f>
        <v>1347.3180000000002</v>
      </c>
      <c r="F90" s="51">
        <f t="shared" si="23"/>
        <v>1347.3180000000002</v>
      </c>
      <c r="G90" s="51">
        <f t="shared" si="23"/>
        <v>1347.3180000000002</v>
      </c>
      <c r="H90" s="34">
        <f>'Cash Flow Analysis'!G12</f>
        <v>5389.2720000000008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92829.454293358751</v>
      </c>
      <c r="E93" s="48">
        <f t="shared" ref="E93:G93" si="24">E90+E84</f>
        <v>92978.767555883067</v>
      </c>
      <c r="F93" s="48">
        <f t="shared" si="24"/>
        <v>93130.897976181106</v>
      </c>
      <c r="G93" s="48">
        <f t="shared" si="24"/>
        <v>93285.898706784588</v>
      </c>
      <c r="H93" s="27">
        <f>'Cash Flow Analysis'!G15</f>
        <v>372225.01853220747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7913.8096466095112</v>
      </c>
      <c r="E96" s="50">
        <f>SUM('Loan Amortization Table'!C41:C43)</f>
        <v>8063.1229091338355</v>
      </c>
      <c r="F96" s="50">
        <f>SUM('Loan Amortization Table'!C44:C46)</f>
        <v>8215.253329431871</v>
      </c>
      <c r="G96" s="50">
        <f>SUM('Loan Amortization Table'!C47:C49)</f>
        <v>8370.2540600353459</v>
      </c>
      <c r="H96" s="32">
        <f>'Cash Flow Analysis'!G18</f>
        <v>32562.439945210564</v>
      </c>
    </row>
    <row r="97" spans="3:8">
      <c r="C97" s="12" t="s">
        <v>25</v>
      </c>
      <c r="D97" s="49">
        <f>$H$97/4</f>
        <v>943.12260000000003</v>
      </c>
      <c r="E97" s="49">
        <f t="shared" ref="E97:G97" si="25">$H$97/4</f>
        <v>943.12260000000003</v>
      </c>
      <c r="F97" s="49">
        <f t="shared" si="25"/>
        <v>943.12260000000003</v>
      </c>
      <c r="G97" s="49">
        <f t="shared" si="25"/>
        <v>943.12260000000003</v>
      </c>
      <c r="H97" s="13">
        <f>'Cash Flow Analysis'!G19</f>
        <v>3772.4904000000001</v>
      </c>
    </row>
    <row r="98" spans="3:8">
      <c r="C98" s="31" t="s">
        <v>33</v>
      </c>
      <c r="D98" s="50">
        <f>H98</f>
        <v>18341.787326610374</v>
      </c>
      <c r="E98" s="50">
        <v>0</v>
      </c>
      <c r="F98" s="50">
        <v>0</v>
      </c>
      <c r="G98" s="50">
        <v>0</v>
      </c>
      <c r="H98" s="32">
        <f>'Cash Flow Analysis'!G20</f>
        <v>18341.787326610374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256785.02257254522</v>
      </c>
      <c r="H99" s="13">
        <f>'Cash Flow Analysis'!G21</f>
        <v>256785.02257254522</v>
      </c>
    </row>
    <row r="100" spans="3:8">
      <c r="C100" s="37" t="s">
        <v>26</v>
      </c>
      <c r="D100" s="51">
        <f>SUM(D96:D99)</f>
        <v>27198.719573219885</v>
      </c>
      <c r="E100" s="51">
        <f t="shared" ref="E100:G100" si="26">SUM(E96:E99)</f>
        <v>9006.2455091338361</v>
      </c>
      <c r="F100" s="51">
        <f t="shared" si="26"/>
        <v>9158.3759294318716</v>
      </c>
      <c r="G100" s="51">
        <f t="shared" si="26"/>
        <v>266098.39923258056</v>
      </c>
      <c r="H100" s="34">
        <f>'Cash Flow Analysis'!G22</f>
        <v>311461.74024436617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65630.734720138862</v>
      </c>
      <c r="E102" s="52">
        <f t="shared" ref="E102:G102" si="27">E93-E100</f>
        <v>83972.522046749233</v>
      </c>
      <c r="F102" s="52">
        <f t="shared" si="27"/>
        <v>83972.522046749233</v>
      </c>
      <c r="G102" s="52">
        <f t="shared" si="27"/>
        <v>-172812.50052579597</v>
      </c>
      <c r="H102" s="40">
        <f>'Cash Flow Analysis'!G24</f>
        <v>60763.278287841298</v>
      </c>
    </row>
    <row r="103" spans="3:8">
      <c r="C103" s="42" t="s">
        <v>6</v>
      </c>
      <c r="D103" s="52">
        <f>G77+D102</f>
        <v>255871.14078536947</v>
      </c>
      <c r="E103" s="52">
        <f>D103+E102</f>
        <v>339843.66283211869</v>
      </c>
      <c r="F103" s="52">
        <f t="shared" ref="F103:G103" si="28">E103+F102</f>
        <v>423816.18487886793</v>
      </c>
      <c r="G103" s="52">
        <f t="shared" si="28"/>
        <v>251003.68435307196</v>
      </c>
      <c r="H103" s="40">
        <f>'Cash Flow Analysis'!G25</f>
        <v>251003.68435307188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P26" sqref="P26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6"/>
      <c r="J5" s="108"/>
      <c r="K5" s="109"/>
      <c r="L5" s="109"/>
      <c r="M5" s="109"/>
    </row>
    <row r="6" spans="5:13">
      <c r="E6" s="94" t="str">
        <f>Inputs!B5</f>
        <v>Day Care and Kennel Services</v>
      </c>
      <c r="F6" s="94">
        <f>SUM(Inputs!C32:N32)</f>
        <v>511320</v>
      </c>
      <c r="G6" s="94">
        <f t="shared" ref="G6:H15" si="0">F6*(1+G$5)</f>
        <v>613584</v>
      </c>
      <c r="H6" s="94">
        <f t="shared" si="0"/>
        <v>705621.6</v>
      </c>
      <c r="I6" s="128"/>
      <c r="J6" s="94" t="str">
        <f>E6</f>
        <v>Day Care and Kennel Services</v>
      </c>
      <c r="K6" s="144">
        <f>F6/$F$16</f>
        <v>0.5714285714285714</v>
      </c>
      <c r="L6" s="144">
        <f>G6/$G$16</f>
        <v>0.5714285714285714</v>
      </c>
      <c r="M6" s="144">
        <f>H6/$H$16</f>
        <v>0.57142857142857151</v>
      </c>
    </row>
    <row r="7" spans="5:13">
      <c r="E7" s="94" t="str">
        <f>Inputs!B6</f>
        <v>Grooming Services</v>
      </c>
      <c r="F7" s="94">
        <f>SUM(Inputs!C33:N33)</f>
        <v>383490</v>
      </c>
      <c r="G7" s="94">
        <f t="shared" si="0"/>
        <v>460188</v>
      </c>
      <c r="H7" s="94">
        <f t="shared" si="0"/>
        <v>529216.19999999995</v>
      </c>
      <c r="I7" s="128"/>
      <c r="J7" s="94" t="str">
        <f t="shared" ref="J7:J15" si="1">E7</f>
        <v>Grooming Services</v>
      </c>
      <c r="K7" s="144">
        <f t="shared" ref="K7:K15" si="2">F7/$F$16</f>
        <v>0.42857142857142855</v>
      </c>
      <c r="L7" s="144">
        <f t="shared" ref="L7:L15" si="3">G7/$G$16</f>
        <v>0.42857142857142855</v>
      </c>
      <c r="M7" s="144">
        <f t="shared" ref="M7:M15" si="4">H7/$H$16</f>
        <v>0.4285714285714286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894810</v>
      </c>
      <c r="G16" s="99">
        <f>SUM(G6:G15)</f>
        <v>1073772</v>
      </c>
      <c r="H16" s="99">
        <f>SUM(H6:H15)</f>
        <v>1234837.7999999998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6"/>
      <c r="K20" s="126"/>
      <c r="L20" s="126"/>
      <c r="M20" s="126"/>
    </row>
    <row r="21" spans="5:13">
      <c r="E21" s="94" t="str">
        <f>E6</f>
        <v>Day Care and Kennel Services</v>
      </c>
      <c r="F21" s="94">
        <f>SUM(Inputs!C51:N51)</f>
        <v>25566</v>
      </c>
      <c r="G21" s="94">
        <f t="shared" ref="G21:H30" si="5">F21*(1+G$20)</f>
        <v>30679.199999999997</v>
      </c>
      <c r="H21" s="94">
        <f t="shared" si="5"/>
        <v>35281.079999999994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Grooming Services</v>
      </c>
      <c r="F22" s="94">
        <f>SUM(Inputs!C52:N52)</f>
        <v>19174.5</v>
      </c>
      <c r="G22" s="94">
        <f t="shared" si="5"/>
        <v>23009.399999999998</v>
      </c>
      <c r="H22" s="94">
        <f t="shared" si="5"/>
        <v>26460.809999999994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44740.5</v>
      </c>
      <c r="G31" s="100">
        <f>SUM(G21:G30)</f>
        <v>53688.599999999991</v>
      </c>
      <c r="H31" s="100">
        <f>SUM(H21:H30)</f>
        <v>61741.889999999985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2025-10-02T21:14:18Z</dcterms:modified>
</cp:coreProperties>
</file>