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Dump Truck Service\"/>
    </mc:Choice>
  </mc:AlternateContent>
  <xr:revisionPtr revIDLastSave="0" documentId="13_ncr:1_{1B3F222B-E513-4440-A6C3-4BFF59082A0D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7" l="1"/>
  <c r="B32" i="7"/>
  <c r="B31" i="7"/>
  <c r="B30" i="7"/>
  <c r="G12" i="7" s="1"/>
  <c r="B29" i="7"/>
  <c r="B28" i="7"/>
  <c r="B27" i="7"/>
  <c r="B26" i="7"/>
  <c r="B25" i="7"/>
  <c r="E20" i="3"/>
  <c r="E7" i="6"/>
  <c r="C33" i="23"/>
  <c r="H8" i="14"/>
  <c r="J8" i="9"/>
  <c r="J9" i="9"/>
  <c r="J10" i="9"/>
  <c r="J11" i="9"/>
  <c r="J12" i="9"/>
  <c r="J13" i="9"/>
  <c r="J14" i="9"/>
  <c r="J15" i="9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3" i="7"/>
  <c r="G14" i="7"/>
  <c r="G26" i="7" s="1"/>
  <c r="G15" i="7"/>
  <c r="G27" i="7" s="1"/>
  <c r="G11" i="7"/>
  <c r="L32" i="7"/>
  <c r="L31" i="7"/>
  <c r="E9" i="4"/>
  <c r="F9" i="4" s="1"/>
  <c r="G9" i="4" s="1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D87" i="12"/>
  <c r="H87" i="12"/>
  <c r="D88" i="12"/>
  <c r="H88" i="12"/>
  <c r="E23" i="6"/>
  <c r="D61" i="12"/>
  <c r="H62" i="12"/>
  <c r="D62" i="12" s="1"/>
  <c r="H61" i="12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G19" i="3" s="1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H36" i="12" l="1"/>
  <c r="H37" i="12" s="1"/>
  <c r="F19" i="3"/>
  <c r="E36" i="12"/>
  <c r="E37" i="12" s="1"/>
  <c r="G8" i="14"/>
  <c r="D33" i="23"/>
  <c r="D52" i="23" s="1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H16" i="7"/>
  <c r="C21" i="23" s="1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D21" i="23" l="1"/>
  <c r="F17" i="2" s="1"/>
  <c r="G73" i="11" s="1"/>
  <c r="G51" i="23"/>
  <c r="E66" i="23"/>
  <c r="F42" i="23"/>
  <c r="F6" i="11" s="1"/>
  <c r="D6" i="11"/>
  <c r="D66" i="23"/>
  <c r="F61" i="23"/>
  <c r="F7" i="11" s="1"/>
  <c r="H32" i="23"/>
  <c r="H33" i="23" s="1"/>
  <c r="E17" i="2"/>
  <c r="D75" i="11"/>
  <c r="F75" i="11"/>
  <c r="E75" i="11"/>
  <c r="J16" i="7"/>
  <c r="E21" i="23" s="1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I33" i="23" s="1"/>
  <c r="H45" i="11"/>
  <c r="G17" i="2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8" i="3" l="1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H99" i="12" l="1"/>
  <c r="G99" i="12" s="1"/>
  <c r="G100" i="12" s="1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<sst xmlns="http://schemas.openxmlformats.org/spreadsheetml/2006/main" count="318" uniqueCount="139">
  <si>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</si>
  <si>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</si>
  <si>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</si>
  <si>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</si>
  <si>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</si>
  <si>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</si>
  <si>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</si>
  <si>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</si>
  <si>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</si>
  <si>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</si>
  <si>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</si>
  <si>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</si>
  <si>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</si>
  <si>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</si>
  <si>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</si>
  <si>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</si>
  <si>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</si>
  <si>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</si>
  <si>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</si>
  <si>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</si>
  <si>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</si>
  <si>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</si>
  <si>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</si>
  <si>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</si>
  <si>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</si>
  <si>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</si>
  <si>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</si>
  <si>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</si>
  <si>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</si>
  <si>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</si>
  <si>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</si>
  <si>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</si>
  <si>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</si>
  <si>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</si>
  <si>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</si>
  <si>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</si>
  <si>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</si>
  <si>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</si>
  <si>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</si>
  <si>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</si>
  <si>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</si>
  <si>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</si>
  <si>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</si>
  <si>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</si>
  <si>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</si>
  <si>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</si>
  <si>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</si>
  <si>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</si>
  <si>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</si>
  <si>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</si>
  <si>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</si>
  <si>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</si>
  <si>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</si>
  <si>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</si>
  <si>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</si>
  <si>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</si>
  <si>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</si>
  <si>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</si>
  <si>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</si>
  <si>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</si>
  <si>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</si>
  <si>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</si>
  <si>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</si>
  <si>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</si>
  <si>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</si>
  <si>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</si>
  <si>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</si>
  <si>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</si>
  <si>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</si>
  <si>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</si>
  <si>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</si>
  <si>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</si>
  <si>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</si>
  <si>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</si>
  <si>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</si>
  <si>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</si>
  <si>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</si>
  <si>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</si>
  <si>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</si>
  <si>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</si>
  <si>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</si>
  <si>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</si>
  <si>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</si>
  <si>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</si>
  <si>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</si>
  <si>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</si>
  <si>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</si>
  <si>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</si>
  <si>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</si>
  <si>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</si>
  <si>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</si>
  <si>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</si>
  <si>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</si>
  <si>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</si>
  <si>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</si>
  <si>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</si>
  <si>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</si>
  <si>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</si>
  <si>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</si>
  <si>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</si>
  <si>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</si>
  <si>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</si>
  <si>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</si>
  <si>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</si>
  <si>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</si>
  <si>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</si>
  <si>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</si>
  <si>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</si>
  <si>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</si>
  <si>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</si>
  <si>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</si>
  <si>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</si>
  <si>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</si>
  <si>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</si>
  <si>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</si>
  <si>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</si>
  <si>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Facility Costs</t>
  </si>
  <si>
    <t>Marketing</t>
  </si>
  <si>
    <t>Equipment Costs</t>
  </si>
  <si>
    <t>Position 6</t>
  </si>
  <si>
    <t>Position 10</t>
  </si>
  <si>
    <t>Fixed Assets</t>
  </si>
  <si>
    <t>Yearly Growth Rate</t>
  </si>
  <si>
    <t>Furniture, Fixtures, and Equipment</t>
  </si>
  <si>
    <t>Position 5</t>
  </si>
  <si>
    <t>Operational Manager</t>
  </si>
  <si>
    <t>Drivers</t>
  </si>
  <si>
    <t>Other Income</t>
  </si>
  <si>
    <t>Dump Truck Services</t>
  </si>
  <si>
    <t>Dump Trucks</t>
  </si>
  <si>
    <t>Professional Fees</t>
  </si>
  <si>
    <t>Licensure</t>
  </si>
  <si>
    <t>Website and Initial Marketing</t>
  </si>
  <si>
    <t>Administrative Manager</t>
  </si>
  <si>
    <t>6021 Media Holdings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</si>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</sst>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0" fillId="3" borderId="3" xfId="0" applyFill="1" applyBorder="1" applyAlignment="1">
      <alignment horizontal="center"/>
    </xf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  <xf numFmtId="0" fontId="11" fillId="0" borderId="0" xfId="2"/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96485.096833339514</c:v>
                </c:pt>
                <c:pt idx="1">
                  <c:v>215661.56928691</c:v>
                </c:pt>
                <c:pt idx="2">
                  <c:v>330329.35039151565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14319.668460097642</c:v>
                </c:pt>
                <c:pt idx="1">
                  <c:v>15354.838450912586</c:v>
                </c:pt>
                <c:pt idx="2">
                  <c:v>16464.840964063489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0</c:v>
                </c:pt>
                <c:pt idx="1">
                  <c:v>10000</c:v>
                </c:pt>
                <c:pt idx="2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96485.096833339514</c:v>
                </c:pt>
                <c:pt idx="1">
                  <c:v>215661.56928691</c:v>
                </c:pt>
                <c:pt idx="2">
                  <c:v>330329.35039151565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729A-445D-A6AE-3A4487085AB7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729A-445D-A6AE-3A4487085AB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0</c:v>
                </c:pt>
                <c:pt idx="1">
                  <c:v>10000</c:v>
                </c:pt>
                <c:pt idx="2">
                  <c:v>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313515.7283732419</c:v>
                </c:pt>
                <c:pt idx="1">
                  <c:v>188530.63153990239</c:v>
                </c:pt>
                <c:pt idx="2">
                  <c:v>124985.09683333951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482729.76520923933</c:v>
                </c:pt>
                <c:pt idx="1">
                  <c:v>176083.09908898984</c:v>
                </c:pt>
                <c:pt idx="2">
                  <c:v>306646.66612024949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742559.72675669147</c:v>
                </c:pt>
                <c:pt idx="1">
                  <c:v>162583.71024492639</c:v>
                </c:pt>
                <c:pt idx="2">
                  <c:v>579976.01651176508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313515.7283732419</c:v>
                </c:pt>
                <c:pt idx="1">
                  <c:v>482729.76520923933</c:v>
                </c:pt>
                <c:pt idx="2">
                  <c:v>742559.72675669147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5-459E-9248-75A97F77D9E2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188530.63153990239</c:v>
                </c:pt>
                <c:pt idx="1">
                  <c:v>176083.09908898984</c:v>
                </c:pt>
                <c:pt idx="2">
                  <c:v>162583.71024492639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5-459E-9248-75A97F77D9E2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124985.09683333951</c:v>
                </c:pt>
                <c:pt idx="1">
                  <c:v>306646.66612024949</c:v>
                </c:pt>
                <c:pt idx="2">
                  <c:v>579976.01651176508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A5-459E-9248-75A97F77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7950528"/>
        <c:axId val="446204880"/>
      </c:barChart>
      <c:catAx>
        <c:axId val="16379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204880"/>
        <c:crosses val="autoZero"/>
        <c:auto val="1"/>
        <c:lblAlgn val="ctr"/>
        <c:lblOffset val="100"/>
        <c:noMultiLvlLbl val="0"/>
      </c:catAx>
      <c:valAx>
        <c:axId val="4462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95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447717.72105454543</c:v>
                </c:pt>
                <c:pt idx="1">
                  <c:v>552134.62385454541</c:v>
                </c:pt>
                <c:pt idx="2">
                  <c:v>661960.18595381815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447717.72105454543</c:v>
                </c:pt>
                <c:pt idx="1">
                  <c:v>552134.62385454541</c:v>
                </c:pt>
                <c:pt idx="2">
                  <c:v>661960.18595381815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631386</c:v>
                </c:pt>
                <c:pt idx="1">
                  <c:v>947079</c:v>
                </c:pt>
                <c:pt idx="2">
                  <c:v>1259615.07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351778.20939999999</c:v>
                </c:pt>
                <c:pt idx="1">
                  <c:v>433820.06159999996</c:v>
                </c:pt>
                <c:pt idx="2">
                  <c:v>520111.574678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144310.79060000001</c:v>
                </c:pt>
                <c:pt idx="1">
                  <c:v>310313.43840000004</c:v>
                </c:pt>
                <c:pt idx="2">
                  <c:v>469585.98032200005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631386</c:v>
                </c:pt>
                <c:pt idx="1">
                  <c:v>947079</c:v>
                </c:pt>
                <c:pt idx="2">
                  <c:v>1259615.07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317952974324811"/>
                  <c:y val="8.600959362838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0.10209092795439405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144310.79060000001</c:v>
                </c:pt>
                <c:pt idx="1">
                  <c:v>310313.43840000004</c:v>
                </c:pt>
                <c:pt idx="2">
                  <c:v>469585.98032200005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351778.20939999999</c:v>
                </c:pt>
                <c:pt idx="1">
                  <c:v>433820.06159999996</c:v>
                </c:pt>
                <c:pt idx="2">
                  <c:v>520111.574678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Dump Truck Services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313515.7283732419</c:v>
                </c:pt>
                <c:pt idx="1">
                  <c:v>482729.76520923933</c:v>
                </c:pt>
                <c:pt idx="2">
                  <c:v>742559.72675669147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C-4382-BF5A-4A36847940D8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188530.63153990239</c:v>
                </c:pt>
                <c:pt idx="1">
                  <c:v>176083.09908898984</c:v>
                </c:pt>
                <c:pt idx="2">
                  <c:v>162583.71024492639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C-4382-BF5A-4A36847940D8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124985.09683333951</c:v>
                </c:pt>
                <c:pt idx="1">
                  <c:v>306646.66612024949</c:v>
                </c:pt>
                <c:pt idx="2">
                  <c:v>579976.01651176508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9C-4382-BF5A-4A3684794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7950528"/>
        <c:axId val="446204880"/>
      </c:barChart>
      <c:catAx>
        <c:axId val="16379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204880"/>
        <c:crosses val="autoZero"/>
        <c:auto val="1"/>
        <c:lblAlgn val="ctr"/>
        <c:lblOffset val="100"/>
        <c:noMultiLvlLbl val="0"/>
      </c:catAx>
      <c:valAx>
        <c:axId val="4462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95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'Personnel - Editable'!$L$31:$L$35</c15:sqref>
                  </c15:fullRef>
                </c:ext>
              </c:extLst>
              <c:f>'Personnel - Editable'!$L$31:$L$34</c:f>
              <c:strCache>
                <c:ptCount val="4"/>
                <c:pt idx="0">
                  <c:v>Senior Management</c:v>
                </c:pt>
                <c:pt idx="1">
                  <c:v>Operational Manager</c:v>
                </c:pt>
                <c:pt idx="2">
                  <c:v>Drivers</c:v>
                </c:pt>
                <c:pt idx="3">
                  <c:v>Administrative Manager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'Personnel - Editable'!$M$31:$M$35</c15:sqref>
                  </c15:fullRef>
                </c:ext>
              </c:extLst>
              <c:f>'Personnel - Editable'!$M$31:$M$34</c:f>
              <c:numCache>
                <c:formatCode>0.0%</c:formatCode>
                <c:ptCount val="4"/>
                <c:pt idx="0">
                  <c:v>0.19867549668874171</c:v>
                </c:pt>
                <c:pt idx="1">
                  <c:v>0.17218543046357615</c:v>
                </c:pt>
                <c:pt idx="2">
                  <c:v>0.5298013245033113</c:v>
                </c:pt>
                <c:pt idx="3">
                  <c:v>9.9337748344370855E-2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'Personnel - Editable'!$M$35</c15:sqref>
                  <c15:spPr xmlns:c15="http://schemas.microsoft.com/office/drawing/2012/chart">
                    <a:gradFill>
                      <a:gsLst>
                        <a:gs pos="0">
                          <a:schemeClr val="accent1">
                            <a:lumMod val="5000"/>
                            <a:lumOff val="95000"/>
                          </a:schemeClr>
                        </a:gs>
                        <a:gs pos="100000">
                          <a:srgbClr val="7030A0"/>
                        </a:gs>
                      </a:gsLst>
                      <a:lin ang="5400000" scaled="1"/>
                    </a:gra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Dump Truck Services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3FB-4490-9665-1C6201874E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3FB-4490-9665-1C6201874E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Funds'!$D$6:$D$11</c:f>
              <c:strCache>
                <c:ptCount val="6"/>
                <c:pt idx="0">
                  <c:v>Furniture, Fixtures, and Equipment</c:v>
                </c:pt>
                <c:pt idx="1">
                  <c:v>Dump Trucks</c:v>
                </c:pt>
                <c:pt idx="2">
                  <c:v>Professional Fees</c:v>
                </c:pt>
                <c:pt idx="3">
                  <c:v>Licensure</c:v>
                </c:pt>
                <c:pt idx="4">
                  <c:v>Website and Initial Marketing</c:v>
                </c:pt>
                <c:pt idx="5">
                  <c:v>Working Capital</c:v>
                </c:pt>
              </c:strCache>
            </c:strRef>
          </c:cat>
          <c:val>
            <c:numRef>
              <c:f>'Use of Funds'!$E$6:$E$11</c:f>
              <c:numCache>
                <c:formatCode>"$"#,##0</c:formatCode>
                <c:ptCount val="6"/>
                <c:pt idx="0">
                  <c:v>30000</c:v>
                </c:pt>
                <c:pt idx="1">
                  <c:v>170000</c:v>
                </c:pt>
                <c:pt idx="2">
                  <c:v>2500</c:v>
                </c:pt>
                <c:pt idx="3">
                  <c:v>3500</c:v>
                </c:pt>
                <c:pt idx="4">
                  <c:v>15000</c:v>
                </c:pt>
                <c:pt idx="5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631386</c:v>
                </c:pt>
                <c:pt idx="1">
                  <c:v>947079</c:v>
                </c:pt>
                <c:pt idx="2">
                  <c:v>1259615.07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351778.20939999999</c:v>
                </c:pt>
                <c:pt idx="1">
                  <c:v>433820.06159999996</c:v>
                </c:pt>
                <c:pt idx="2">
                  <c:v>520111.574678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144310.79060000001</c:v>
                </c:pt>
                <c:pt idx="1">
                  <c:v>310313.43840000004</c:v>
                </c:pt>
                <c:pt idx="2">
                  <c:v>469585.98032200005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631386</c:v>
                </c:pt>
                <c:pt idx="1">
                  <c:v>947079</c:v>
                </c:pt>
                <c:pt idx="2">
                  <c:v>1259615.07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1494460628318924E-2"/>
                  <c:y val="-3.5123265429771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144310.79060000001</c:v>
                </c:pt>
                <c:pt idx="1">
                  <c:v>310313.43840000004</c:v>
                </c:pt>
                <c:pt idx="2">
                  <c:v>469585.98032200005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-1.1938540690304461E-16"/>
                  <c:y val="-6.4842951562655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351778.20939999999</c:v>
                </c:pt>
                <c:pt idx="1">
                  <c:v>433820.06159999996</c:v>
                </c:pt>
                <c:pt idx="2">
                  <c:v>520111.574678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96485.096833339514</c:v>
                </c:pt>
                <c:pt idx="1">
                  <c:v>215661.56928691</c:v>
                </c:pt>
                <c:pt idx="2">
                  <c:v>330329.35039151565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5"/>
          <c:order val="3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0</c:v>
                </c:pt>
                <c:pt idx="1">
                  <c:v>10000</c:v>
                </c:pt>
                <c:pt idx="2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96485.096833339514</c:v>
                </c:pt>
                <c:pt idx="1">
                  <c:v>215661.56928691</c:v>
                </c:pt>
                <c:pt idx="2">
                  <c:v>330329.35039151565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377A-4FC1-8306-A2B5D2F7D75B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377A-4FC1-8306-A2B5D2F7D75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3.3023725076188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A2-4395-8345-0CB0EC95A0C5}"/>
                </c:ext>
              </c:extLst>
            </c:dLbl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0</c:v>
                </c:pt>
                <c:pt idx="1">
                  <c:v>10000</c:v>
                </c:pt>
                <c:pt idx="2">
                  <c:v>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552450</xdr:colOff>
      <xdr:row>2</xdr:row>
      <xdr:rowOff>76200</xdr:rowOff>
    </xdr:from>
    <xdr:to>
      <xdr:col>21</xdr:col>
      <xdr:colOff>104773</xdr:colOff>
      <xdr:row>12</xdr:row>
      <xdr:rowOff>171448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FECFE5-A343-4799-936C-CA7D6D878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447675</xdr:colOff>
      <xdr:row>28</xdr:row>
      <xdr:rowOff>104775</xdr:rowOff>
    </xdr:from>
    <xdr:to>
      <xdr:col>20</xdr:col>
      <xdr:colOff>228600</xdr:colOff>
      <xdr:row>39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16D893-0A44-4A7A-8972-84477B4DD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54387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47625</xdr:rowOff>
    </xdr:from>
    <xdr:to>
      <xdr:col>21</xdr:col>
      <xdr:colOff>390525</xdr:colOff>
      <xdr:row>12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353F77-0D1A-4C0E-8CBD-3D3A5388B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2725" y="2381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361950</xdr:colOff>
      <xdr:row>1</xdr:row>
      <xdr:rowOff>9525</xdr:rowOff>
    </xdr:from>
    <xdr:to>
      <xdr:col>26</xdr:col>
      <xdr:colOff>142875</xdr:colOff>
      <xdr:row>12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F42FD3-4452-43B9-9F1E-D01213EE9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2000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114300</xdr:colOff>
      <xdr:row>0</xdr:row>
      <xdr:rowOff>85725</xdr:rowOff>
    </xdr:from>
    <xdr:to>
      <xdr:col>25</xdr:col>
      <xdr:colOff>504825</xdr:colOff>
      <xdr:row>11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FFB002-DB73-4270-821F-DFF07FF6B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3725" y="857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257175</xdr:colOff>
      <xdr:row>0</xdr:row>
      <xdr:rowOff>114300</xdr:rowOff>
    </xdr:from>
    <xdr:to>
      <xdr:col>26</xdr:col>
      <xdr:colOff>38100</xdr:colOff>
      <xdr:row>11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BB657A-2C7A-4F66-B328-835C8CE01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1143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142875</xdr:colOff>
      <xdr:row>2</xdr:row>
      <xdr:rowOff>171450</xdr:rowOff>
    </xdr:from>
    <xdr:to>
      <xdr:col>5</xdr:col>
      <xdr:colOff>904875</xdr:colOff>
      <xdr:row>13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96E6E3-78EA-46C1-B0F7-9AC8F254D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5524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</xdr:colOff>
      <xdr:row>15</xdr:row>
      <xdr:rowOff>76200</xdr:rowOff>
    </xdr:from>
    <xdr:to>
      <xdr:col>12</xdr:col>
      <xdr:colOff>314325</xdr:colOff>
      <xdr:row>26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2F96F4-EFF8-478E-9548-57E4B9954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9337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21</xdr:col>
      <xdr:colOff>104775</xdr:colOff>
      <xdr:row>0</xdr:row>
      <xdr:rowOff>38100</xdr:rowOff>
    </xdr:from>
    <xdr:to>
      <xdr:col>25</xdr:col>
      <xdr:colOff>495300</xdr:colOff>
      <xdr:row>11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E5D08F-0E8B-45F6-9C9F-E1E8B784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381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104775</xdr:colOff>
      <xdr:row>0</xdr:row>
      <xdr:rowOff>180975</xdr:rowOff>
    </xdr:from>
    <xdr:to>
      <xdr:col>23</xdr:col>
      <xdr:colOff>495300</xdr:colOff>
      <xdr:row>11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1EB81-B5A5-446E-A0AE-457788444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7550" y="1809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161925</xdr:colOff>
      <xdr:row>1</xdr:row>
      <xdr:rowOff>85725</xdr:rowOff>
    </xdr:from>
    <xdr:to>
      <xdr:col>24</xdr:col>
      <xdr:colOff>552450</xdr:colOff>
      <xdr:row>12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445204-2D76-4961-8AE6-3D40682C4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2762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333375</xdr:colOff>
      <xdr:row>4</xdr:row>
      <xdr:rowOff>119062</xdr:rowOff>
    </xdr:from>
    <xdr:to>
      <xdr:col>14</xdr:col>
      <xdr:colOff>161925</xdr:colOff>
      <xdr:row>19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2B4BE7-2047-C93A-B0FE-1DEE09BD4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285750</xdr:colOff>
      <xdr:row>2</xdr:row>
      <xdr:rowOff>142875</xdr:rowOff>
    </xdr:from>
    <xdr:to>
      <xdr:col>24</xdr:col>
      <xdr:colOff>66675</xdr:colOff>
      <xdr:row>13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748CE2-7A7F-4015-BC65-94C5FDEF4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0850" y="5238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323850</xdr:colOff>
      <xdr:row>0</xdr:row>
      <xdr:rowOff>95250</xdr:rowOff>
    </xdr:from>
    <xdr:to>
      <xdr:col>26</xdr:col>
      <xdr:colOff>104775</xdr:colOff>
      <xdr:row>11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DAC5A8-3E88-467D-A3D5-353A7FCA5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2300" y="952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85725</xdr:colOff>
      <xdr:row>0</xdr:row>
      <xdr:rowOff>38100</xdr:rowOff>
    </xdr:from>
    <xdr:to>
      <xdr:col>26</xdr:col>
      <xdr:colOff>476250</xdr:colOff>
      <xdr:row>11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2D3B78-10D0-4CC4-9A44-37A231947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900" y="381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T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5"/>
      <c r="C3" s="145"/>
      <c r="D3" s="145"/>
      <c r="E3" s="145"/>
    </row>
    <row r="4" spans="2:5">
      <c r="B4" s="146" t="s">
        <v>111</v>
      </c>
      <c r="C4" s="146" t="s">
        <v>57</v>
      </c>
      <c r="D4" s="146" t="s">
        <v>10</v>
      </c>
      <c r="E4" s="146" t="s">
        <v>8</v>
      </c>
    </row>
    <row r="5" spans="2:5">
      <c r="B5" s="66" t="s">
        <v>128</v>
      </c>
      <c r="C5" s="147">
        <v>0.2</v>
      </c>
      <c r="D5" s="147">
        <v>0.8</v>
      </c>
      <c r="E5" s="147">
        <f>C5+D5</f>
        <v>1</v>
      </c>
    </row>
    <row r="6" spans="2:5">
      <c r="B6" s="66" t="s">
        <v>127</v>
      </c>
      <c r="C6" s="147">
        <v>0.5</v>
      </c>
      <c r="D6" s="147">
        <v>0.5</v>
      </c>
      <c r="E6" s="147">
        <f t="shared" ref="E6:E12" si="0">C6+D6</f>
        <v>1</v>
      </c>
    </row>
    <row r="7" spans="2:5">
      <c r="B7" s="66" t="s">
        <v>103</v>
      </c>
      <c r="C7" s="147">
        <v>0.05</v>
      </c>
      <c r="D7" s="147">
        <v>0.95</v>
      </c>
      <c r="E7" s="147">
        <f t="shared" si="0"/>
        <v>1</v>
      </c>
    </row>
    <row r="8" spans="2:5">
      <c r="B8" s="66" t="s">
        <v>104</v>
      </c>
      <c r="C8" s="147">
        <v>0.05</v>
      </c>
      <c r="D8" s="147">
        <v>0.95</v>
      </c>
      <c r="E8" s="147">
        <f t="shared" si="0"/>
        <v>1</v>
      </c>
    </row>
    <row r="9" spans="2:5">
      <c r="B9" s="66" t="s">
        <v>105</v>
      </c>
      <c r="C9" s="147">
        <v>0.05</v>
      </c>
      <c r="D9" s="147">
        <v>0.95</v>
      </c>
      <c r="E9" s="147">
        <f t="shared" si="0"/>
        <v>1</v>
      </c>
    </row>
    <row r="10" spans="2:5">
      <c r="B10" s="66" t="s">
        <v>106</v>
      </c>
      <c r="C10" s="147">
        <v>0.05</v>
      </c>
      <c r="D10" s="147">
        <v>0.95</v>
      </c>
      <c r="E10" s="147">
        <f t="shared" si="0"/>
        <v>1</v>
      </c>
    </row>
    <row r="11" spans="2:5">
      <c r="B11" s="66" t="s">
        <v>107</v>
      </c>
      <c r="C11" s="147">
        <v>0.05</v>
      </c>
      <c r="D11" s="147">
        <v>0.95</v>
      </c>
      <c r="E11" s="147">
        <f t="shared" si="0"/>
        <v>1</v>
      </c>
    </row>
    <row r="12" spans="2:5">
      <c r="B12" s="66" t="s">
        <v>108</v>
      </c>
      <c r="C12" s="147">
        <v>0.05</v>
      </c>
      <c r="D12" s="147">
        <v>0.95</v>
      </c>
      <c r="E12" s="147">
        <f t="shared" si="0"/>
        <v>1</v>
      </c>
    </row>
    <row r="13" spans="2:5">
      <c r="B13" s="66" t="s">
        <v>109</v>
      </c>
      <c r="C13" s="147">
        <v>0.05</v>
      </c>
      <c r="D13" s="147">
        <v>0.95</v>
      </c>
      <c r="E13" s="147">
        <f t="shared" ref="E13:E14" si="1">C13+D13</f>
        <v>1</v>
      </c>
    </row>
    <row r="14" spans="2:5">
      <c r="B14" s="66" t="s">
        <v>110</v>
      </c>
      <c r="C14" s="147">
        <v>0.05</v>
      </c>
      <c r="D14" s="147">
        <v>0.95</v>
      </c>
      <c r="E14" s="147">
        <f t="shared" si="1"/>
        <v>1</v>
      </c>
    </row>
    <row r="16" spans="2:5">
      <c r="B16" s="145"/>
      <c r="C16" s="145"/>
      <c r="D16" s="145"/>
      <c r="E16" s="145"/>
    </row>
    <row r="17" spans="2:14">
      <c r="B17" s="146" t="s">
        <v>112</v>
      </c>
      <c r="C17" s="146">
        <v>1</v>
      </c>
      <c r="D17" s="146">
        <v>2</v>
      </c>
      <c r="E17" s="146">
        <v>3</v>
      </c>
    </row>
    <row r="18" spans="2:14">
      <c r="B18" s="70" t="s">
        <v>116</v>
      </c>
      <c r="C18" s="94">
        <v>12097</v>
      </c>
      <c r="D18" s="94">
        <f>C18*1.03</f>
        <v>12459.91</v>
      </c>
      <c r="E18" s="94">
        <f>D18*1.03</f>
        <v>12833.7073</v>
      </c>
    </row>
    <row r="19" spans="2:14">
      <c r="B19" s="70" t="s">
        <v>50</v>
      </c>
      <c r="C19" s="94">
        <f>'Profit and Loss Statement'!E6*0.0157</f>
        <v>9912.7601999999988</v>
      </c>
      <c r="D19" s="94">
        <f>'Profit and Loss Statement'!F6*0.0157</f>
        <v>14869.140299999999</v>
      </c>
      <c r="E19" s="94">
        <f>'Profit and Loss Statement'!G6*0.0157</f>
        <v>19775.956599000001</v>
      </c>
    </row>
    <row r="20" spans="2:14">
      <c r="B20" s="70" t="s">
        <v>118</v>
      </c>
      <c r="C20" s="94">
        <f>'Profit and Loss Statement'!E6*0.0152</f>
        <v>9597.0671999999995</v>
      </c>
      <c r="D20" s="94">
        <f>'Profit and Loss Statement'!F6*0.0152</f>
        <v>14395.6008</v>
      </c>
      <c r="E20" s="94">
        <f>'Profit and Loss Statement'!G6*0.0152</f>
        <v>19146.149064000001</v>
      </c>
    </row>
    <row r="21" spans="2:14">
      <c r="B21" s="70" t="s">
        <v>49</v>
      </c>
      <c r="C21" s="94">
        <f>'Personnel - Editable'!H16*0.03</f>
        <v>8325</v>
      </c>
      <c r="D21" s="94">
        <f>'Personnel - Editable'!I16*0.03</f>
        <v>10119.75</v>
      </c>
      <c r="E21" s="94">
        <f>'Personnel - Editable'!J16*0.03</f>
        <v>12014.692499999999</v>
      </c>
      <c r="F21" s="120"/>
      <c r="G21" s="120"/>
    </row>
    <row r="22" spans="2:14">
      <c r="B22" s="70" t="s">
        <v>117</v>
      </c>
      <c r="C22" s="94">
        <f>'Profit and Loss Statement'!E6*0.012</f>
        <v>7576.6320000000005</v>
      </c>
      <c r="D22" s="94">
        <f>'Profit and Loss Statement'!F6*0.012</f>
        <v>11364.948</v>
      </c>
      <c r="E22" s="94">
        <f>'Profit and Loss Statement'!G6*0.012</f>
        <v>15115.380840000002</v>
      </c>
      <c r="F22" s="1"/>
      <c r="G22" s="1"/>
    </row>
    <row r="23" spans="2:14">
      <c r="B23" s="70" t="s">
        <v>1</v>
      </c>
      <c r="C23" s="94">
        <v>5541</v>
      </c>
      <c r="D23" s="94">
        <f>C23*1.35</f>
        <v>7480.35</v>
      </c>
      <c r="E23" s="94">
        <f>D23*1.35</f>
        <v>10098.472500000002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8" t="s">
        <v>113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2:14">
      <c r="B31" s="150" t="s">
        <v>5</v>
      </c>
      <c r="C31" s="151">
        <v>1</v>
      </c>
      <c r="D31" s="151">
        <f>C31+1</f>
        <v>2</v>
      </c>
      <c r="E31" s="151">
        <f t="shared" ref="E31:N31" si="2">D31+1</f>
        <v>3</v>
      </c>
      <c r="F31" s="151">
        <f t="shared" si="2"/>
        <v>4</v>
      </c>
      <c r="G31" s="151">
        <f t="shared" si="2"/>
        <v>5</v>
      </c>
      <c r="H31" s="151">
        <f t="shared" si="2"/>
        <v>6</v>
      </c>
      <c r="I31" s="151">
        <f t="shared" si="2"/>
        <v>7</v>
      </c>
      <c r="J31" s="151">
        <f t="shared" si="2"/>
        <v>8</v>
      </c>
      <c r="K31" s="151">
        <f t="shared" si="2"/>
        <v>9</v>
      </c>
      <c r="L31" s="151">
        <f t="shared" si="2"/>
        <v>10</v>
      </c>
      <c r="M31" s="151">
        <f t="shared" si="2"/>
        <v>11</v>
      </c>
      <c r="N31" s="151">
        <f t="shared" si="2"/>
        <v>12</v>
      </c>
    </row>
    <row r="32" spans="2:14">
      <c r="B32" s="66" t="str">
        <f t="shared" ref="B32:B41" si="3">B5</f>
        <v>Dump Truck Services</v>
      </c>
      <c r="C32" s="94">
        <v>50000</v>
      </c>
      <c r="D32" s="94">
        <f>C32+20</f>
        <v>50020</v>
      </c>
      <c r="E32" s="94">
        <f t="shared" ref="E32:N32" si="4">D32+20</f>
        <v>50040</v>
      </c>
      <c r="F32" s="94">
        <f t="shared" si="4"/>
        <v>50060</v>
      </c>
      <c r="G32" s="94">
        <f t="shared" si="4"/>
        <v>50080</v>
      </c>
      <c r="H32" s="94">
        <f t="shared" si="4"/>
        <v>50100</v>
      </c>
      <c r="I32" s="94">
        <f t="shared" si="4"/>
        <v>50120</v>
      </c>
      <c r="J32" s="94">
        <f t="shared" si="4"/>
        <v>50140</v>
      </c>
      <c r="K32" s="94">
        <f t="shared" si="4"/>
        <v>50160</v>
      </c>
      <c r="L32" s="94">
        <f t="shared" si="4"/>
        <v>50180</v>
      </c>
      <c r="M32" s="94">
        <f t="shared" si="4"/>
        <v>50200</v>
      </c>
      <c r="N32" s="94">
        <f t="shared" si="4"/>
        <v>50220</v>
      </c>
    </row>
    <row r="33" spans="2:20">
      <c r="B33" s="66" t="str">
        <f t="shared" si="3"/>
        <v>Other Income</v>
      </c>
      <c r="C33" s="94">
        <f>C32*0.05</f>
        <v>2500</v>
      </c>
      <c r="D33" s="94">
        <f t="shared" ref="D33:N33" si="5">D32*0.05</f>
        <v>2501</v>
      </c>
      <c r="E33" s="94">
        <f t="shared" si="5"/>
        <v>2502</v>
      </c>
      <c r="F33" s="94">
        <f t="shared" si="5"/>
        <v>2503</v>
      </c>
      <c r="G33" s="94">
        <f t="shared" si="5"/>
        <v>2504</v>
      </c>
      <c r="H33" s="94">
        <f t="shared" si="5"/>
        <v>2505</v>
      </c>
      <c r="I33" s="94">
        <f t="shared" si="5"/>
        <v>2506</v>
      </c>
      <c r="J33" s="94">
        <f t="shared" si="5"/>
        <v>2507</v>
      </c>
      <c r="K33" s="94">
        <f t="shared" si="5"/>
        <v>2508</v>
      </c>
      <c r="L33" s="94">
        <f t="shared" si="5"/>
        <v>2509</v>
      </c>
      <c r="M33" s="94">
        <f t="shared" si="5"/>
        <v>2510</v>
      </c>
      <c r="N33" s="94">
        <f t="shared" si="5"/>
        <v>2511</v>
      </c>
    </row>
    <row r="34" spans="2:20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T34" s="112" t="s">
        <v>134</v>
      </c>
    </row>
    <row r="35" spans="2:20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20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20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20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20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20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20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Q41" s="154" t="s">
        <v>138</v>
      </c>
    </row>
    <row r="42" spans="2:20">
      <c r="B42" s="152" t="s">
        <v>8</v>
      </c>
      <c r="C42" s="153">
        <f>SUM(C32:C41)</f>
        <v>52500</v>
      </c>
      <c r="D42" s="153">
        <f t="shared" ref="D42:N42" si="6">SUM(D32:D41)</f>
        <v>52521</v>
      </c>
      <c r="E42" s="153">
        <f t="shared" si="6"/>
        <v>52542</v>
      </c>
      <c r="F42" s="153">
        <f t="shared" si="6"/>
        <v>52563</v>
      </c>
      <c r="G42" s="153">
        <f t="shared" si="6"/>
        <v>52584</v>
      </c>
      <c r="H42" s="153">
        <f t="shared" si="6"/>
        <v>52605</v>
      </c>
      <c r="I42" s="153">
        <f t="shared" si="6"/>
        <v>52626</v>
      </c>
      <c r="J42" s="153">
        <f t="shared" si="6"/>
        <v>52647</v>
      </c>
      <c r="K42" s="153">
        <f t="shared" si="6"/>
        <v>52668</v>
      </c>
      <c r="L42" s="153">
        <f t="shared" si="6"/>
        <v>52689</v>
      </c>
      <c r="M42" s="153">
        <f t="shared" si="6"/>
        <v>52710</v>
      </c>
      <c r="N42" s="153">
        <f t="shared" si="6"/>
        <v>52731</v>
      </c>
    </row>
    <row r="43" spans="2:20">
      <c r="B43" s="63"/>
    </row>
    <row r="44" spans="2:20">
      <c r="B44" s="145"/>
      <c r="C44" s="145"/>
    </row>
    <row r="45" spans="2:20">
      <c r="B45" s="146" t="s">
        <v>122</v>
      </c>
      <c r="C45" s="146"/>
    </row>
    <row r="46" spans="2:20">
      <c r="B46" s="66" t="s">
        <v>3</v>
      </c>
      <c r="C46" s="144">
        <v>0.5</v>
      </c>
    </row>
    <row r="47" spans="2:20">
      <c r="B47" s="66" t="s">
        <v>4</v>
      </c>
      <c r="C47" s="144">
        <v>0.33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Dump Truck Services</v>
      </c>
      <c r="C51" s="114">
        <f t="shared" ref="C51:N51" si="9">C32*($C$5/$E$5)</f>
        <v>10000</v>
      </c>
      <c r="D51" s="114">
        <f t="shared" si="9"/>
        <v>10004</v>
      </c>
      <c r="E51" s="114">
        <f t="shared" si="9"/>
        <v>10008</v>
      </c>
      <c r="F51" s="114">
        <f t="shared" si="9"/>
        <v>10012</v>
      </c>
      <c r="G51" s="114">
        <f t="shared" si="9"/>
        <v>10016</v>
      </c>
      <c r="H51" s="114">
        <f t="shared" si="9"/>
        <v>10020</v>
      </c>
      <c r="I51" s="114">
        <f t="shared" si="9"/>
        <v>10024</v>
      </c>
      <c r="J51" s="114">
        <f t="shared" si="9"/>
        <v>10028</v>
      </c>
      <c r="K51" s="114">
        <f t="shared" si="9"/>
        <v>10032</v>
      </c>
      <c r="L51" s="114">
        <f t="shared" si="9"/>
        <v>10036</v>
      </c>
      <c r="M51" s="114">
        <f t="shared" si="9"/>
        <v>10040</v>
      </c>
      <c r="N51" s="114">
        <f t="shared" si="9"/>
        <v>10044</v>
      </c>
    </row>
    <row r="52" spans="2:14">
      <c r="B52" s="112" t="str">
        <f t="shared" si="8"/>
        <v>Other Income</v>
      </c>
      <c r="C52" s="114">
        <f t="shared" ref="C52:N52" si="10">C33*($C$6/$E$6)</f>
        <v>1250</v>
      </c>
      <c r="D52" s="114">
        <f t="shared" si="10"/>
        <v>1250.5</v>
      </c>
      <c r="E52" s="114">
        <f t="shared" si="10"/>
        <v>1251</v>
      </c>
      <c r="F52" s="114">
        <f t="shared" si="10"/>
        <v>1251.5</v>
      </c>
      <c r="G52" s="114">
        <f t="shared" si="10"/>
        <v>1252</v>
      </c>
      <c r="H52" s="114">
        <f t="shared" si="10"/>
        <v>1252.5</v>
      </c>
      <c r="I52" s="114">
        <f t="shared" si="10"/>
        <v>1253</v>
      </c>
      <c r="J52" s="114">
        <f t="shared" si="10"/>
        <v>1253.5</v>
      </c>
      <c r="K52" s="114">
        <f t="shared" si="10"/>
        <v>1254</v>
      </c>
      <c r="L52" s="114">
        <f t="shared" si="10"/>
        <v>1254.5</v>
      </c>
      <c r="M52" s="114">
        <f t="shared" si="10"/>
        <v>1255</v>
      </c>
      <c r="N52" s="114">
        <f t="shared" si="10"/>
        <v>1255.5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11250</v>
      </c>
      <c r="D61" s="114">
        <f t="shared" ref="D61:N61" si="19">SUM(D51:D60)</f>
        <v>11254.5</v>
      </c>
      <c r="E61" s="114">
        <f t="shared" si="19"/>
        <v>11259</v>
      </c>
      <c r="F61" s="114">
        <f t="shared" si="19"/>
        <v>11263.5</v>
      </c>
      <c r="G61" s="114">
        <f t="shared" si="19"/>
        <v>11268</v>
      </c>
      <c r="H61" s="114">
        <f t="shared" si="19"/>
        <v>11272.5</v>
      </c>
      <c r="I61" s="114">
        <f t="shared" si="19"/>
        <v>11277</v>
      </c>
      <c r="J61" s="114">
        <f t="shared" si="19"/>
        <v>11281.5</v>
      </c>
      <c r="K61" s="114">
        <f t="shared" si="19"/>
        <v>11286</v>
      </c>
      <c r="L61" s="114">
        <f t="shared" si="19"/>
        <v>11290.5</v>
      </c>
      <c r="M61" s="114">
        <f t="shared" si="19"/>
        <v>11295</v>
      </c>
      <c r="N61" s="114">
        <f t="shared" si="19"/>
        <v>11299.5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41250</v>
      </c>
      <c r="D66" s="114">
        <f t="shared" si="21"/>
        <v>41266.5</v>
      </c>
      <c r="E66" s="114">
        <f t="shared" si="21"/>
        <v>41283</v>
      </c>
      <c r="F66" s="114">
        <f t="shared" si="21"/>
        <v>41299.5</v>
      </c>
      <c r="G66" s="114">
        <f t="shared" si="21"/>
        <v>41316</v>
      </c>
      <c r="H66" s="114">
        <f t="shared" si="21"/>
        <v>41332.5</v>
      </c>
      <c r="I66" s="114">
        <f t="shared" si="21"/>
        <v>41349</v>
      </c>
      <c r="J66" s="114">
        <f t="shared" si="21"/>
        <v>41365.5</v>
      </c>
      <c r="K66" s="114">
        <f t="shared" si="21"/>
        <v>41382</v>
      </c>
      <c r="L66" s="114">
        <f t="shared" si="21"/>
        <v>41398.5</v>
      </c>
      <c r="M66" s="114">
        <f t="shared" si="21"/>
        <v>41415</v>
      </c>
      <c r="N66" s="114">
        <f t="shared" si="21"/>
        <v>41431.5</v>
      </c>
    </row>
  </sheetData>
  <sheetProtection algorithmName="SHA-512" hashValue="xJpVZEN6gh0CJPG7gz59n/q+FDWtra/zPlfcRmOJQplwAkT6jeb2abi3KFqZYw/zrZynifVyo5X8vefScl/uWQ==" saltValue="CXWTjfyX3I1BuigmecP6hg==" spinCount="100000" sheet="1" objects="1" scenarios="1" selectLockedCells="1"/>
  <hyperlinks>
    <hyperlink ref="Q41" r:id="rId1" xr:uid="{A90BF2C9-823A-4980-B2EA-802E72B28246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Q6" sqref="Q6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200000</v>
      </c>
      <c r="C5" s="55"/>
      <c r="D5" s="56" t="s">
        <v>36</v>
      </c>
      <c r="E5" s="59">
        <f>PMT(B6/B8,(B7*B8),-B5)</f>
        <v>2322.1695843724815</v>
      </c>
    </row>
    <row r="6" spans="1:5">
      <c r="A6" s="60" t="s">
        <v>39</v>
      </c>
      <c r="B6" s="54">
        <v>7.0000000000000007E-2</v>
      </c>
      <c r="C6" s="55"/>
      <c r="D6" s="56" t="s">
        <v>38</v>
      </c>
      <c r="E6" s="59">
        <f>SUM(D14:D600)</f>
        <v>78660.350124697768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2322.1695843724815</v>
      </c>
      <c r="C14" s="1">
        <f>B14-D14</f>
        <v>1155.5029177058148</v>
      </c>
      <c r="D14" s="1">
        <f>(B5*($B$6/$B$8))</f>
        <v>1166.6666666666667</v>
      </c>
      <c r="E14" s="1">
        <f>B5-C14</f>
        <v>198844.4970822942</v>
      </c>
    </row>
    <row r="15" spans="1:5">
      <c r="A15">
        <f>IF(($B$7*$B$8&gt;A14),IF(($B$7*$B$8)=A14,"",A14+1),"")</f>
        <v>2</v>
      </c>
      <c r="B15" s="1">
        <f>IF(A15="","",$B$14)</f>
        <v>2322.1695843724815</v>
      </c>
      <c r="C15" s="1">
        <f>IF(A15="","",B15-D15)</f>
        <v>1162.243351392432</v>
      </c>
      <c r="D15" s="1">
        <f>IF(A15="","",(E14*($B$6/$B$8)))</f>
        <v>1159.9262329800495</v>
      </c>
      <c r="E15" s="1">
        <f>IF(A15="","",E14-C15)</f>
        <v>197682.25373090178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2322.1695843724815</v>
      </c>
      <c r="C16" s="1">
        <f t="shared" ref="C16:C79" si="2">IF(A16="","",B16-D16)</f>
        <v>1169.0231042755545</v>
      </c>
      <c r="D16" s="1">
        <f t="shared" ref="D16:D79" si="3">IF(A16="","",(E15*($B$6/$B$8)))</f>
        <v>1153.146480096927</v>
      </c>
      <c r="E16" s="1">
        <f t="shared" ref="E16:E79" si="4">IF(A16="","",E15-C16)</f>
        <v>196513.23062662623</v>
      </c>
    </row>
    <row r="17" spans="1:5">
      <c r="A17">
        <f t="shared" si="0"/>
        <v>4</v>
      </c>
      <c r="B17" s="1">
        <f t="shared" si="1"/>
        <v>2322.1695843724815</v>
      </c>
      <c r="C17" s="1">
        <f t="shared" si="2"/>
        <v>1175.8424057171617</v>
      </c>
      <c r="D17" s="1">
        <f t="shared" si="3"/>
        <v>1146.3271786553198</v>
      </c>
      <c r="E17" s="1">
        <f t="shared" si="4"/>
        <v>195337.38822090908</v>
      </c>
    </row>
    <row r="18" spans="1:5">
      <c r="A18">
        <f t="shared" si="0"/>
        <v>5</v>
      </c>
      <c r="B18" s="1">
        <f t="shared" si="1"/>
        <v>2322.1695843724815</v>
      </c>
      <c r="C18" s="1">
        <f t="shared" si="2"/>
        <v>1182.7014864171786</v>
      </c>
      <c r="D18" s="1">
        <f t="shared" si="3"/>
        <v>1139.4680979553029</v>
      </c>
      <c r="E18" s="1">
        <f t="shared" si="4"/>
        <v>194154.6867344919</v>
      </c>
    </row>
    <row r="19" spans="1:5">
      <c r="A19">
        <f t="shared" si="0"/>
        <v>6</v>
      </c>
      <c r="B19" s="1">
        <f t="shared" si="1"/>
        <v>2322.1695843724815</v>
      </c>
      <c r="C19" s="1">
        <f t="shared" si="2"/>
        <v>1189.6005784212787</v>
      </c>
      <c r="D19" s="1">
        <f t="shared" si="3"/>
        <v>1132.5690059512028</v>
      </c>
      <c r="E19" s="1">
        <f t="shared" si="4"/>
        <v>192965.08615607061</v>
      </c>
    </row>
    <row r="20" spans="1:5">
      <c r="A20">
        <f t="shared" si="0"/>
        <v>7</v>
      </c>
      <c r="B20" s="1">
        <f t="shared" si="1"/>
        <v>2322.1695843724815</v>
      </c>
      <c r="C20" s="1">
        <f t="shared" si="2"/>
        <v>1196.5399151287363</v>
      </c>
      <c r="D20" s="1">
        <f t="shared" si="3"/>
        <v>1125.6296692437452</v>
      </c>
      <c r="E20" s="1">
        <f t="shared" si="4"/>
        <v>191768.54624094188</v>
      </c>
    </row>
    <row r="21" spans="1:5">
      <c r="A21">
        <f t="shared" si="0"/>
        <v>8</v>
      </c>
      <c r="B21" s="1">
        <f t="shared" si="1"/>
        <v>2322.1695843724815</v>
      </c>
      <c r="C21" s="1">
        <f t="shared" si="2"/>
        <v>1203.5197313003205</v>
      </c>
      <c r="D21" s="1">
        <f t="shared" si="3"/>
        <v>1118.649853072161</v>
      </c>
      <c r="E21" s="1">
        <f t="shared" si="4"/>
        <v>190565.02650964155</v>
      </c>
    </row>
    <row r="22" spans="1:5">
      <c r="A22">
        <f t="shared" si="0"/>
        <v>9</v>
      </c>
      <c r="B22" s="1">
        <f t="shared" si="1"/>
        <v>2322.1695843724815</v>
      </c>
      <c r="C22" s="1">
        <f t="shared" si="2"/>
        <v>1210.540263066239</v>
      </c>
      <c r="D22" s="1">
        <f t="shared" si="3"/>
        <v>1111.6293213062424</v>
      </c>
      <c r="E22" s="1">
        <f t="shared" si="4"/>
        <v>189354.48624657531</v>
      </c>
    </row>
    <row r="23" spans="1:5">
      <c r="A23">
        <f t="shared" si="0"/>
        <v>10</v>
      </c>
      <c r="B23" s="1">
        <f t="shared" si="1"/>
        <v>2322.1695843724815</v>
      </c>
      <c r="C23" s="1">
        <f t="shared" si="2"/>
        <v>1217.6017479341256</v>
      </c>
      <c r="D23" s="1">
        <f t="shared" si="3"/>
        <v>1104.5678364383559</v>
      </c>
      <c r="E23" s="1">
        <f t="shared" si="4"/>
        <v>188136.88449864119</v>
      </c>
    </row>
    <row r="24" spans="1:5">
      <c r="A24">
        <f t="shared" si="0"/>
        <v>11</v>
      </c>
      <c r="B24" s="1">
        <f t="shared" si="1"/>
        <v>2322.1695843724815</v>
      </c>
      <c r="C24" s="1">
        <f t="shared" si="2"/>
        <v>1224.7044247970746</v>
      </c>
      <c r="D24" s="1">
        <f t="shared" si="3"/>
        <v>1097.4651595754069</v>
      </c>
      <c r="E24" s="1">
        <f t="shared" si="4"/>
        <v>186912.18007384412</v>
      </c>
    </row>
    <row r="25" spans="1:5">
      <c r="A25">
        <f t="shared" si="0"/>
        <v>12</v>
      </c>
      <c r="B25" s="1">
        <f t="shared" si="1"/>
        <v>2322.1695843724815</v>
      </c>
      <c r="C25" s="1">
        <f t="shared" si="2"/>
        <v>1231.8485339417241</v>
      </c>
      <c r="D25" s="1">
        <f t="shared" si="3"/>
        <v>1090.3210504307574</v>
      </c>
      <c r="E25" s="1">
        <f t="shared" si="4"/>
        <v>185680.3315399024</v>
      </c>
    </row>
    <row r="26" spans="1:5">
      <c r="A26">
        <f t="shared" si="0"/>
        <v>13</v>
      </c>
      <c r="B26" s="1">
        <f t="shared" si="1"/>
        <v>2322.1695843724815</v>
      </c>
      <c r="C26" s="1">
        <f t="shared" si="2"/>
        <v>1239.0343170563842</v>
      </c>
      <c r="D26" s="1">
        <f t="shared" si="3"/>
        <v>1083.1352673160973</v>
      </c>
      <c r="E26" s="1">
        <f t="shared" si="4"/>
        <v>184441.29722284601</v>
      </c>
    </row>
    <row r="27" spans="1:5">
      <c r="A27">
        <f t="shared" si="0"/>
        <v>14</v>
      </c>
      <c r="B27" s="1">
        <f t="shared" si="1"/>
        <v>2322.1695843724815</v>
      </c>
      <c r="C27" s="1">
        <f t="shared" si="2"/>
        <v>1246.262017239213</v>
      </c>
      <c r="D27" s="1">
        <f t="shared" si="3"/>
        <v>1075.9075671332685</v>
      </c>
      <c r="E27" s="1">
        <f t="shared" si="4"/>
        <v>183195.03520560681</v>
      </c>
    </row>
    <row r="28" spans="1:5">
      <c r="A28">
        <f t="shared" si="0"/>
        <v>15</v>
      </c>
      <c r="B28" s="1">
        <f t="shared" si="1"/>
        <v>2322.1695843724815</v>
      </c>
      <c r="C28" s="1">
        <f t="shared" si="2"/>
        <v>1253.5318790064418</v>
      </c>
      <c r="D28" s="1">
        <f t="shared" si="3"/>
        <v>1068.6377053660397</v>
      </c>
      <c r="E28" s="1">
        <f t="shared" si="4"/>
        <v>181941.50332660036</v>
      </c>
    </row>
    <row r="29" spans="1:5">
      <c r="A29">
        <f t="shared" si="0"/>
        <v>16</v>
      </c>
      <c r="B29" s="1">
        <f t="shared" si="1"/>
        <v>2322.1695843724815</v>
      </c>
      <c r="C29" s="1">
        <f t="shared" si="2"/>
        <v>1260.8441483006461</v>
      </c>
      <c r="D29" s="1">
        <f t="shared" si="3"/>
        <v>1061.3254360718354</v>
      </c>
      <c r="E29" s="1">
        <f t="shared" si="4"/>
        <v>180680.65917829971</v>
      </c>
    </row>
    <row r="30" spans="1:5">
      <c r="A30">
        <f t="shared" si="0"/>
        <v>17</v>
      </c>
      <c r="B30" s="1">
        <f t="shared" si="1"/>
        <v>2322.1695843724815</v>
      </c>
      <c r="C30" s="1">
        <f t="shared" si="2"/>
        <v>1268.1990724990665</v>
      </c>
      <c r="D30" s="1">
        <f t="shared" si="3"/>
        <v>1053.970511873415</v>
      </c>
      <c r="E30" s="1">
        <f t="shared" si="4"/>
        <v>179412.46010580065</v>
      </c>
    </row>
    <row r="31" spans="1:5">
      <c r="A31">
        <f t="shared" si="0"/>
        <v>18</v>
      </c>
      <c r="B31" s="1">
        <f t="shared" si="1"/>
        <v>2322.1695843724815</v>
      </c>
      <c r="C31" s="1">
        <f t="shared" si="2"/>
        <v>1275.5969004219776</v>
      </c>
      <c r="D31" s="1">
        <f t="shared" si="3"/>
        <v>1046.5726839505039</v>
      </c>
      <c r="E31" s="1">
        <f t="shared" si="4"/>
        <v>178136.86320537867</v>
      </c>
    </row>
    <row r="32" spans="1:5">
      <c r="A32">
        <f t="shared" si="0"/>
        <v>19</v>
      </c>
      <c r="B32" s="1">
        <f t="shared" si="1"/>
        <v>2322.1695843724815</v>
      </c>
      <c r="C32" s="1">
        <f t="shared" si="2"/>
        <v>1283.0378823411058</v>
      </c>
      <c r="D32" s="1">
        <f t="shared" si="3"/>
        <v>1039.1317020313757</v>
      </c>
      <c r="E32" s="1">
        <f t="shared" si="4"/>
        <v>176853.82532303757</v>
      </c>
    </row>
    <row r="33" spans="1:5">
      <c r="A33">
        <f t="shared" si="0"/>
        <v>20</v>
      </c>
      <c r="B33" s="1">
        <f t="shared" si="1"/>
        <v>2322.1695843724815</v>
      </c>
      <c r="C33" s="1">
        <f t="shared" si="2"/>
        <v>1290.5222699880956</v>
      </c>
      <c r="D33" s="1">
        <f t="shared" si="3"/>
        <v>1031.6473143843859</v>
      </c>
      <c r="E33" s="1">
        <f t="shared" si="4"/>
        <v>175563.30305304949</v>
      </c>
    </row>
    <row r="34" spans="1:5">
      <c r="A34">
        <f t="shared" si="0"/>
        <v>21</v>
      </c>
      <c r="B34" s="1">
        <f t="shared" si="1"/>
        <v>2322.1695843724815</v>
      </c>
      <c r="C34" s="1">
        <f t="shared" si="2"/>
        <v>1298.0503165630262</v>
      </c>
      <c r="D34" s="1">
        <f t="shared" si="3"/>
        <v>1024.1192678094553</v>
      </c>
      <c r="E34" s="1">
        <f t="shared" si="4"/>
        <v>174265.25273648647</v>
      </c>
    </row>
    <row r="35" spans="1:5">
      <c r="A35">
        <f t="shared" si="0"/>
        <v>22</v>
      </c>
      <c r="B35" s="1">
        <f t="shared" si="1"/>
        <v>2322.1695843724815</v>
      </c>
      <c r="C35" s="1">
        <f t="shared" si="2"/>
        <v>1305.6222767429772</v>
      </c>
      <c r="D35" s="1">
        <f t="shared" si="3"/>
        <v>1016.5473076295044</v>
      </c>
      <c r="E35" s="1">
        <f t="shared" si="4"/>
        <v>172959.63045974349</v>
      </c>
    </row>
    <row r="36" spans="1:5">
      <c r="A36">
        <f t="shared" si="0"/>
        <v>23</v>
      </c>
      <c r="B36" s="1">
        <f t="shared" si="1"/>
        <v>2322.1695843724815</v>
      </c>
      <c r="C36" s="1">
        <f t="shared" si="2"/>
        <v>1313.2384066906443</v>
      </c>
      <c r="D36" s="1">
        <f t="shared" si="3"/>
        <v>1008.9311776818371</v>
      </c>
      <c r="E36" s="1">
        <f t="shared" si="4"/>
        <v>171646.39205305284</v>
      </c>
    </row>
    <row r="37" spans="1:5">
      <c r="A37">
        <f t="shared" si="0"/>
        <v>24</v>
      </c>
      <c r="B37" s="1">
        <f t="shared" si="1"/>
        <v>2322.1695843724815</v>
      </c>
      <c r="C37" s="1">
        <f t="shared" si="2"/>
        <v>1320.8989640630066</v>
      </c>
      <c r="D37" s="1">
        <f t="shared" si="3"/>
        <v>1001.2706203094749</v>
      </c>
      <c r="E37" s="1">
        <f t="shared" si="4"/>
        <v>170325.49308898984</v>
      </c>
    </row>
    <row r="38" spans="1:5">
      <c r="A38">
        <f t="shared" si="0"/>
        <v>25</v>
      </c>
      <c r="B38" s="1">
        <f t="shared" si="1"/>
        <v>2322.1695843724815</v>
      </c>
      <c r="C38" s="1">
        <f t="shared" si="2"/>
        <v>1328.6042080200407</v>
      </c>
      <c r="D38" s="1">
        <f t="shared" si="3"/>
        <v>993.56537635244081</v>
      </c>
      <c r="E38" s="1">
        <f t="shared" si="4"/>
        <v>168996.88888096981</v>
      </c>
    </row>
    <row r="39" spans="1:5">
      <c r="A39">
        <f t="shared" si="0"/>
        <v>26</v>
      </c>
      <c r="B39" s="1">
        <f t="shared" si="1"/>
        <v>2322.1695843724815</v>
      </c>
      <c r="C39" s="1">
        <f t="shared" si="2"/>
        <v>1336.3543992334908</v>
      </c>
      <c r="D39" s="1">
        <f t="shared" si="3"/>
        <v>985.81518513899061</v>
      </c>
      <c r="E39" s="1">
        <f t="shared" si="4"/>
        <v>167660.53448173631</v>
      </c>
    </row>
    <row r="40" spans="1:5">
      <c r="A40">
        <f t="shared" si="0"/>
        <v>27</v>
      </c>
      <c r="B40" s="1">
        <f t="shared" si="1"/>
        <v>2322.1695843724815</v>
      </c>
      <c r="C40" s="1">
        <f t="shared" si="2"/>
        <v>1344.1497998956863</v>
      </c>
      <c r="D40" s="1">
        <f t="shared" si="3"/>
        <v>978.01978447679517</v>
      </c>
      <c r="E40" s="1">
        <f t="shared" si="4"/>
        <v>166316.38468184063</v>
      </c>
    </row>
    <row r="41" spans="1:5">
      <c r="A41">
        <f t="shared" si="0"/>
        <v>28</v>
      </c>
      <c r="B41" s="1">
        <f t="shared" si="1"/>
        <v>2322.1695843724815</v>
      </c>
      <c r="C41" s="1">
        <f t="shared" si="2"/>
        <v>1351.9906737284111</v>
      </c>
      <c r="D41" s="1">
        <f t="shared" si="3"/>
        <v>970.17891064407036</v>
      </c>
      <c r="E41" s="1">
        <f t="shared" si="4"/>
        <v>164964.39400811223</v>
      </c>
    </row>
    <row r="42" spans="1:5">
      <c r="A42">
        <f t="shared" si="0"/>
        <v>29</v>
      </c>
      <c r="B42" s="1">
        <f t="shared" si="1"/>
        <v>2322.1695843724815</v>
      </c>
      <c r="C42" s="1">
        <f t="shared" si="2"/>
        <v>1359.8772859918267</v>
      </c>
      <c r="D42" s="1">
        <f t="shared" si="3"/>
        <v>962.29229838065476</v>
      </c>
      <c r="E42" s="1">
        <f t="shared" si="4"/>
        <v>163604.5167221204</v>
      </c>
    </row>
    <row r="43" spans="1:5">
      <c r="A43">
        <f t="shared" si="0"/>
        <v>30</v>
      </c>
      <c r="B43" s="1">
        <f t="shared" si="1"/>
        <v>2322.1695843724815</v>
      </c>
      <c r="C43" s="1">
        <f t="shared" si="2"/>
        <v>1367.8099034934457</v>
      </c>
      <c r="D43" s="1">
        <f t="shared" si="3"/>
        <v>954.35968087903575</v>
      </c>
      <c r="E43" s="1">
        <f t="shared" si="4"/>
        <v>162236.70681862696</v>
      </c>
    </row>
    <row r="44" spans="1:5">
      <c r="A44">
        <f t="shared" si="0"/>
        <v>31</v>
      </c>
      <c r="B44" s="1">
        <f t="shared" si="1"/>
        <v>2322.1695843724815</v>
      </c>
      <c r="C44" s="1">
        <f t="shared" si="2"/>
        <v>1375.7887945971574</v>
      </c>
      <c r="D44" s="1">
        <f t="shared" si="3"/>
        <v>946.38078977532393</v>
      </c>
      <c r="E44" s="1">
        <f t="shared" si="4"/>
        <v>160860.91802402982</v>
      </c>
    </row>
    <row r="45" spans="1:5">
      <c r="A45">
        <f t="shared" si="0"/>
        <v>32</v>
      </c>
      <c r="B45" s="1">
        <f t="shared" si="1"/>
        <v>2322.1695843724815</v>
      </c>
      <c r="C45" s="1">
        <f t="shared" si="2"/>
        <v>1383.8142292323075</v>
      </c>
      <c r="D45" s="1">
        <f t="shared" si="3"/>
        <v>938.35535514017397</v>
      </c>
      <c r="E45" s="1">
        <f t="shared" si="4"/>
        <v>159477.1037947975</v>
      </c>
    </row>
    <row r="46" spans="1:5">
      <c r="A46">
        <f t="shared" si="0"/>
        <v>33</v>
      </c>
      <c r="B46" s="1">
        <f t="shared" si="1"/>
        <v>2322.1695843724815</v>
      </c>
      <c r="C46" s="1">
        <f t="shared" si="2"/>
        <v>1391.8864789028294</v>
      </c>
      <c r="D46" s="1">
        <f t="shared" si="3"/>
        <v>930.28310546965213</v>
      </c>
      <c r="E46" s="1">
        <f t="shared" si="4"/>
        <v>158085.21731589467</v>
      </c>
    </row>
    <row r="47" spans="1:5">
      <c r="A47">
        <f t="shared" si="0"/>
        <v>34</v>
      </c>
      <c r="B47" s="1">
        <f t="shared" si="1"/>
        <v>2322.1695843724815</v>
      </c>
      <c r="C47" s="1">
        <f t="shared" si="2"/>
        <v>1400.0058166964291</v>
      </c>
      <c r="D47" s="1">
        <f t="shared" si="3"/>
        <v>922.16376767605232</v>
      </c>
      <c r="E47" s="1">
        <f t="shared" si="4"/>
        <v>156685.21149919825</v>
      </c>
    </row>
    <row r="48" spans="1:5">
      <c r="A48">
        <f t="shared" si="0"/>
        <v>35</v>
      </c>
      <c r="B48" s="1">
        <f t="shared" si="1"/>
        <v>2322.1695843724815</v>
      </c>
      <c r="C48" s="1">
        <f t="shared" si="2"/>
        <v>1408.172517293825</v>
      </c>
      <c r="D48" s="1">
        <f t="shared" si="3"/>
        <v>913.99706707865653</v>
      </c>
      <c r="E48" s="1">
        <f t="shared" si="4"/>
        <v>155277.03898190442</v>
      </c>
    </row>
    <row r="49" spans="1:5">
      <c r="A49">
        <f t="shared" si="0"/>
        <v>36</v>
      </c>
      <c r="B49" s="1">
        <f t="shared" si="1"/>
        <v>2322.1695843724815</v>
      </c>
      <c r="C49" s="1">
        <f t="shared" si="2"/>
        <v>1416.3868569780388</v>
      </c>
      <c r="D49" s="1">
        <f t="shared" si="3"/>
        <v>905.78272739444253</v>
      </c>
      <c r="E49" s="1">
        <f t="shared" si="4"/>
        <v>153860.65212492639</v>
      </c>
    </row>
    <row r="50" spans="1:5">
      <c r="A50">
        <f t="shared" si="0"/>
        <v>37</v>
      </c>
      <c r="B50" s="1">
        <f t="shared" si="1"/>
        <v>2322.1695843724815</v>
      </c>
      <c r="C50" s="1">
        <f t="shared" si="2"/>
        <v>1424.6491136437442</v>
      </c>
      <c r="D50" s="1">
        <f t="shared" si="3"/>
        <v>897.52047072873734</v>
      </c>
      <c r="E50" s="1">
        <f t="shared" si="4"/>
        <v>152436.00301128265</v>
      </c>
    </row>
    <row r="51" spans="1:5">
      <c r="A51">
        <f t="shared" si="0"/>
        <v>38</v>
      </c>
      <c r="B51" s="1">
        <f t="shared" si="1"/>
        <v>2322.1695843724815</v>
      </c>
      <c r="C51" s="1">
        <f t="shared" si="2"/>
        <v>1432.9595668066659</v>
      </c>
      <c r="D51" s="1">
        <f t="shared" si="3"/>
        <v>889.21001756581552</v>
      </c>
      <c r="E51" s="1">
        <f t="shared" si="4"/>
        <v>151003.04344447597</v>
      </c>
    </row>
    <row r="52" spans="1:5">
      <c r="A52">
        <f t="shared" si="0"/>
        <v>39</v>
      </c>
      <c r="B52" s="1">
        <f t="shared" si="1"/>
        <v>2322.1695843724815</v>
      </c>
      <c r="C52" s="1">
        <f t="shared" si="2"/>
        <v>1441.3184976130383</v>
      </c>
      <c r="D52" s="1">
        <f t="shared" si="3"/>
        <v>880.85108675944321</v>
      </c>
      <c r="E52" s="1">
        <f t="shared" si="4"/>
        <v>149561.72494686293</v>
      </c>
    </row>
    <row r="53" spans="1:5">
      <c r="A53">
        <f t="shared" si="0"/>
        <v>40</v>
      </c>
      <c r="B53" s="1">
        <f t="shared" si="1"/>
        <v>2322.1695843724815</v>
      </c>
      <c r="C53" s="1">
        <f t="shared" si="2"/>
        <v>1449.7261888491144</v>
      </c>
      <c r="D53" s="1">
        <f t="shared" si="3"/>
        <v>872.44339552336714</v>
      </c>
      <c r="E53" s="1">
        <f t="shared" si="4"/>
        <v>148111.99875801383</v>
      </c>
    </row>
    <row r="54" spans="1:5">
      <c r="A54">
        <f t="shared" si="0"/>
        <v>41</v>
      </c>
      <c r="B54" s="1">
        <f t="shared" si="1"/>
        <v>2322.1695843724815</v>
      </c>
      <c r="C54" s="1">
        <f t="shared" si="2"/>
        <v>1458.1829249507341</v>
      </c>
      <c r="D54" s="1">
        <f t="shared" si="3"/>
        <v>863.98665942174739</v>
      </c>
      <c r="E54" s="1">
        <f t="shared" si="4"/>
        <v>146653.8158330631</v>
      </c>
    </row>
    <row r="55" spans="1:5">
      <c r="A55">
        <f t="shared" si="0"/>
        <v>42</v>
      </c>
      <c r="B55" s="1">
        <f t="shared" si="1"/>
        <v>2322.1695843724815</v>
      </c>
      <c r="C55" s="1">
        <f t="shared" si="2"/>
        <v>1466.6889920129468</v>
      </c>
      <c r="D55" s="1">
        <f t="shared" si="3"/>
        <v>855.48059235953474</v>
      </c>
      <c r="E55" s="1">
        <f t="shared" si="4"/>
        <v>145187.12684105017</v>
      </c>
    </row>
    <row r="56" spans="1:5">
      <c r="A56">
        <f t="shared" si="0"/>
        <v>43</v>
      </c>
      <c r="B56" s="1">
        <f t="shared" si="1"/>
        <v>2322.1695843724815</v>
      </c>
      <c r="C56" s="1">
        <f t="shared" si="2"/>
        <v>1475.2446777996888</v>
      </c>
      <c r="D56" s="1">
        <f t="shared" si="3"/>
        <v>846.92490657279268</v>
      </c>
      <c r="E56" s="1">
        <f t="shared" si="4"/>
        <v>143711.88216325047</v>
      </c>
    </row>
    <row r="57" spans="1:5">
      <c r="A57">
        <f t="shared" si="0"/>
        <v>44</v>
      </c>
      <c r="B57" s="1">
        <f t="shared" si="1"/>
        <v>2322.1695843724815</v>
      </c>
      <c r="C57" s="1">
        <f t="shared" si="2"/>
        <v>1483.8502717535202</v>
      </c>
      <c r="D57" s="1">
        <f t="shared" si="3"/>
        <v>838.31931261896113</v>
      </c>
      <c r="E57" s="1">
        <f t="shared" si="4"/>
        <v>142228.03189149694</v>
      </c>
    </row>
    <row r="58" spans="1:5">
      <c r="A58">
        <f t="shared" si="0"/>
        <v>45</v>
      </c>
      <c r="B58" s="1">
        <f t="shared" si="1"/>
        <v>2322.1695843724815</v>
      </c>
      <c r="C58" s="1">
        <f t="shared" si="2"/>
        <v>1492.5060650054161</v>
      </c>
      <c r="D58" s="1">
        <f t="shared" si="3"/>
        <v>829.66351936706553</v>
      </c>
      <c r="E58" s="1">
        <f t="shared" si="4"/>
        <v>140735.52582649153</v>
      </c>
    </row>
    <row r="59" spans="1:5">
      <c r="A59">
        <f t="shared" si="0"/>
        <v>46</v>
      </c>
      <c r="B59" s="1">
        <f t="shared" si="1"/>
        <v>2322.1695843724815</v>
      </c>
      <c r="C59" s="1">
        <f t="shared" si="2"/>
        <v>1501.2123503846142</v>
      </c>
      <c r="D59" s="1">
        <f t="shared" si="3"/>
        <v>820.95723398786731</v>
      </c>
      <c r="E59" s="1">
        <f t="shared" si="4"/>
        <v>139234.31347610691</v>
      </c>
    </row>
    <row r="60" spans="1:5">
      <c r="A60">
        <f t="shared" si="0"/>
        <v>47</v>
      </c>
      <c r="B60" s="1">
        <f t="shared" si="1"/>
        <v>2322.1695843724815</v>
      </c>
      <c r="C60" s="1">
        <f t="shared" si="2"/>
        <v>1509.9694224285245</v>
      </c>
      <c r="D60" s="1">
        <f t="shared" si="3"/>
        <v>812.20016194395703</v>
      </c>
      <c r="E60" s="1">
        <f t="shared" si="4"/>
        <v>137724.34405367839</v>
      </c>
    </row>
    <row r="61" spans="1:5">
      <c r="A61">
        <f t="shared" si="0"/>
        <v>48</v>
      </c>
      <c r="B61" s="1">
        <f t="shared" si="1"/>
        <v>2322.1695843724815</v>
      </c>
      <c r="C61" s="1">
        <f t="shared" si="2"/>
        <v>1518.777577392691</v>
      </c>
      <c r="D61" s="1">
        <f t="shared" si="3"/>
        <v>803.39200697979061</v>
      </c>
      <c r="E61" s="1">
        <f t="shared" si="4"/>
        <v>136205.56647628569</v>
      </c>
    </row>
    <row r="62" spans="1:5">
      <c r="A62">
        <f t="shared" si="0"/>
        <v>49</v>
      </c>
      <c r="B62" s="1">
        <f t="shared" si="1"/>
        <v>2322.1695843724815</v>
      </c>
      <c r="C62" s="1">
        <f t="shared" si="2"/>
        <v>1527.6371132608149</v>
      </c>
      <c r="D62" s="1">
        <f t="shared" si="3"/>
        <v>794.53247111166661</v>
      </c>
      <c r="E62" s="1">
        <f t="shared" si="4"/>
        <v>134677.92936302489</v>
      </c>
    </row>
    <row r="63" spans="1:5">
      <c r="A63">
        <f t="shared" si="0"/>
        <v>50</v>
      </c>
      <c r="B63" s="1">
        <f t="shared" si="1"/>
        <v>2322.1695843724815</v>
      </c>
      <c r="C63" s="1">
        <f t="shared" si="2"/>
        <v>1536.5483297548362</v>
      </c>
      <c r="D63" s="1">
        <f t="shared" si="3"/>
        <v>785.62125461764526</v>
      </c>
      <c r="E63" s="1">
        <f t="shared" si="4"/>
        <v>133141.38103327004</v>
      </c>
    </row>
    <row r="64" spans="1:5">
      <c r="A64">
        <f t="shared" si="0"/>
        <v>51</v>
      </c>
      <c r="B64" s="1">
        <f t="shared" si="1"/>
        <v>2322.1695843724815</v>
      </c>
      <c r="C64" s="1">
        <f t="shared" si="2"/>
        <v>1545.5115283450727</v>
      </c>
      <c r="D64" s="1">
        <f t="shared" si="3"/>
        <v>776.65805602740863</v>
      </c>
      <c r="E64" s="1">
        <f t="shared" si="4"/>
        <v>131595.86950492495</v>
      </c>
    </row>
    <row r="65" spans="1:5">
      <c r="A65">
        <f t="shared" si="0"/>
        <v>52</v>
      </c>
      <c r="B65" s="1">
        <f t="shared" si="1"/>
        <v>2322.1695843724815</v>
      </c>
      <c r="C65" s="1">
        <f t="shared" si="2"/>
        <v>1554.5270122604193</v>
      </c>
      <c r="D65" s="1">
        <f t="shared" si="3"/>
        <v>767.64257211206223</v>
      </c>
      <c r="E65" s="1">
        <f t="shared" si="4"/>
        <v>130041.34249266454</v>
      </c>
    </row>
    <row r="66" spans="1:5">
      <c r="A66">
        <f t="shared" si="0"/>
        <v>53</v>
      </c>
      <c r="B66" s="1">
        <f t="shared" si="1"/>
        <v>2322.1695843724815</v>
      </c>
      <c r="C66" s="1">
        <f t="shared" si="2"/>
        <v>1563.595086498605</v>
      </c>
      <c r="D66" s="1">
        <f t="shared" si="3"/>
        <v>758.57449787387645</v>
      </c>
      <c r="E66" s="1">
        <f t="shared" si="4"/>
        <v>128477.74740616593</v>
      </c>
    </row>
    <row r="67" spans="1:5">
      <c r="A67">
        <f t="shared" si="0"/>
        <v>54</v>
      </c>
      <c r="B67" s="1">
        <f t="shared" si="1"/>
        <v>2322.1695843724815</v>
      </c>
      <c r="C67" s="1">
        <f t="shared" si="2"/>
        <v>1572.7160578365135</v>
      </c>
      <c r="D67" s="1">
        <f t="shared" si="3"/>
        <v>749.45352653596797</v>
      </c>
      <c r="E67" s="1">
        <f t="shared" si="4"/>
        <v>126905.03134832942</v>
      </c>
    </row>
    <row r="68" spans="1:5">
      <c r="A68">
        <f t="shared" si="0"/>
        <v>55</v>
      </c>
      <c r="B68" s="1">
        <f t="shared" si="1"/>
        <v>2322.1695843724815</v>
      </c>
      <c r="C68" s="1">
        <f t="shared" si="2"/>
        <v>1581.89023484056</v>
      </c>
      <c r="D68" s="1">
        <f t="shared" si="3"/>
        <v>740.27934953192164</v>
      </c>
      <c r="E68" s="1">
        <f t="shared" si="4"/>
        <v>125323.14111348886</v>
      </c>
    </row>
    <row r="69" spans="1:5">
      <c r="A69">
        <f t="shared" si="0"/>
        <v>56</v>
      </c>
      <c r="B69" s="1">
        <f t="shared" si="1"/>
        <v>2322.1695843724815</v>
      </c>
      <c r="C69" s="1">
        <f t="shared" si="2"/>
        <v>1591.1179278771297</v>
      </c>
      <c r="D69" s="1">
        <f t="shared" si="3"/>
        <v>731.05165649535172</v>
      </c>
      <c r="E69" s="1">
        <f t="shared" si="4"/>
        <v>123732.02318561173</v>
      </c>
    </row>
    <row r="70" spans="1:5">
      <c r="A70">
        <f t="shared" si="0"/>
        <v>57</v>
      </c>
      <c r="B70" s="1">
        <f t="shared" si="1"/>
        <v>2322.1695843724815</v>
      </c>
      <c r="C70" s="1">
        <f t="shared" si="2"/>
        <v>1600.3994491230796</v>
      </c>
      <c r="D70" s="1">
        <f t="shared" si="3"/>
        <v>721.77013524940185</v>
      </c>
      <c r="E70" s="1">
        <f t="shared" si="4"/>
        <v>122131.62373648865</v>
      </c>
    </row>
    <row r="71" spans="1:5">
      <c r="A71">
        <f t="shared" si="0"/>
        <v>58</v>
      </c>
      <c r="B71" s="1">
        <f t="shared" si="1"/>
        <v>2322.1695843724815</v>
      </c>
      <c r="C71" s="1">
        <f t="shared" si="2"/>
        <v>1609.7351125762975</v>
      </c>
      <c r="D71" s="1">
        <f t="shared" si="3"/>
        <v>712.43447179618386</v>
      </c>
      <c r="E71" s="1">
        <f t="shared" si="4"/>
        <v>120521.88862391235</v>
      </c>
    </row>
    <row r="72" spans="1:5">
      <c r="A72">
        <f t="shared" si="0"/>
        <v>59</v>
      </c>
      <c r="B72" s="1">
        <f t="shared" si="1"/>
        <v>2322.1695843724815</v>
      </c>
      <c r="C72" s="1">
        <f t="shared" si="2"/>
        <v>1619.1252340663259</v>
      </c>
      <c r="D72" s="1">
        <f t="shared" si="3"/>
        <v>703.04435030615548</v>
      </c>
      <c r="E72" s="1">
        <f t="shared" si="4"/>
        <v>118902.76338984603</v>
      </c>
    </row>
    <row r="73" spans="1:5">
      <c r="A73">
        <f t="shared" si="0"/>
        <v>60</v>
      </c>
      <c r="B73" s="1">
        <f t="shared" si="1"/>
        <v>2322.1695843724815</v>
      </c>
      <c r="C73" s="1">
        <f t="shared" si="2"/>
        <v>1628.5701312650463</v>
      </c>
      <c r="D73" s="1">
        <f t="shared" si="3"/>
        <v>693.59945310743524</v>
      </c>
      <c r="E73" s="1">
        <f t="shared" si="4"/>
        <v>117274.19325858098</v>
      </c>
    </row>
    <row r="74" spans="1:5">
      <c r="A74">
        <f t="shared" si="0"/>
        <v>61</v>
      </c>
      <c r="B74" s="1">
        <f t="shared" si="1"/>
        <v>2322.1695843724815</v>
      </c>
      <c r="C74" s="1">
        <f t="shared" si="2"/>
        <v>1638.0701236974257</v>
      </c>
      <c r="D74" s="1">
        <f t="shared" si="3"/>
        <v>684.09946067505575</v>
      </c>
      <c r="E74" s="1">
        <f t="shared" si="4"/>
        <v>115636.12313488356</v>
      </c>
    </row>
    <row r="75" spans="1:5">
      <c r="A75">
        <f t="shared" si="0"/>
        <v>62</v>
      </c>
      <c r="B75" s="1">
        <f t="shared" si="1"/>
        <v>2322.1695843724815</v>
      </c>
      <c r="C75" s="1">
        <f t="shared" si="2"/>
        <v>1647.6255327523272</v>
      </c>
      <c r="D75" s="1">
        <f t="shared" si="3"/>
        <v>674.54405162015416</v>
      </c>
      <c r="E75" s="1">
        <f t="shared" si="4"/>
        <v>113988.49760213123</v>
      </c>
    </row>
    <row r="76" spans="1:5">
      <c r="A76">
        <f t="shared" si="0"/>
        <v>63</v>
      </c>
      <c r="B76" s="1">
        <f t="shared" si="1"/>
        <v>2322.1695843724815</v>
      </c>
      <c r="C76" s="1">
        <f t="shared" si="2"/>
        <v>1657.2366816933827</v>
      </c>
      <c r="D76" s="1">
        <f t="shared" si="3"/>
        <v>664.9329026790989</v>
      </c>
      <c r="E76" s="1">
        <f t="shared" si="4"/>
        <v>112331.26092043785</v>
      </c>
    </row>
    <row r="77" spans="1:5">
      <c r="A77">
        <f t="shared" si="0"/>
        <v>64</v>
      </c>
      <c r="B77" s="1">
        <f t="shared" si="1"/>
        <v>2322.1695843724815</v>
      </c>
      <c r="C77" s="1">
        <f t="shared" si="2"/>
        <v>1666.9038956699274</v>
      </c>
      <c r="D77" s="1">
        <f t="shared" si="3"/>
        <v>655.26568870255414</v>
      </c>
      <c r="E77" s="1">
        <f t="shared" si="4"/>
        <v>110664.35702476793</v>
      </c>
    </row>
    <row r="78" spans="1:5">
      <c r="A78">
        <f t="shared" si="0"/>
        <v>65</v>
      </c>
      <c r="B78" s="1">
        <f t="shared" si="1"/>
        <v>2322.1695843724815</v>
      </c>
      <c r="C78" s="1">
        <f t="shared" si="2"/>
        <v>1676.6275017280018</v>
      </c>
      <c r="D78" s="1">
        <f t="shared" si="3"/>
        <v>645.54208264447959</v>
      </c>
      <c r="E78" s="1">
        <f t="shared" si="4"/>
        <v>108987.72952303993</v>
      </c>
    </row>
    <row r="79" spans="1:5">
      <c r="A79">
        <f t="shared" si="0"/>
        <v>66</v>
      </c>
      <c r="B79" s="1">
        <f t="shared" si="1"/>
        <v>2322.1695843724815</v>
      </c>
      <c r="C79" s="1">
        <f t="shared" si="2"/>
        <v>1686.4078288214153</v>
      </c>
      <c r="D79" s="1">
        <f t="shared" si="3"/>
        <v>635.76175555106624</v>
      </c>
      <c r="E79" s="1">
        <f t="shared" si="4"/>
        <v>107301.32169421851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2322.1695843724815</v>
      </c>
      <c r="C80" s="1">
        <f t="shared" ref="C80:C143" si="7">IF(A80="","",B80-D80)</f>
        <v>1696.2452078228735</v>
      </c>
      <c r="D80" s="1">
        <f t="shared" ref="D80:D143" si="8">IF(A80="","",(E79*($B$6/$B$8)))</f>
        <v>625.92437654960804</v>
      </c>
      <c r="E80" s="1">
        <f t="shared" ref="E80:E143" si="9">IF(A80="","",E79-C80)</f>
        <v>105605.07648639564</v>
      </c>
    </row>
    <row r="81" spans="1:5">
      <c r="A81">
        <f t="shared" si="5"/>
        <v>68</v>
      </c>
      <c r="B81" s="1">
        <f t="shared" si="6"/>
        <v>2322.1695843724815</v>
      </c>
      <c r="C81" s="1">
        <f t="shared" si="7"/>
        <v>1706.1399715351736</v>
      </c>
      <c r="D81" s="1">
        <f t="shared" si="8"/>
        <v>616.02961283730792</v>
      </c>
      <c r="E81" s="1">
        <f t="shared" si="9"/>
        <v>103898.93651486047</v>
      </c>
    </row>
    <row r="82" spans="1:5">
      <c r="A82">
        <f t="shared" si="5"/>
        <v>69</v>
      </c>
      <c r="B82" s="1">
        <f t="shared" si="6"/>
        <v>2322.1695843724815</v>
      </c>
      <c r="C82" s="1">
        <f t="shared" si="7"/>
        <v>1716.092454702462</v>
      </c>
      <c r="D82" s="1">
        <f t="shared" si="8"/>
        <v>606.07712967001942</v>
      </c>
      <c r="E82" s="1">
        <f t="shared" si="9"/>
        <v>102182.84406015801</v>
      </c>
    </row>
    <row r="83" spans="1:5">
      <c r="A83">
        <f t="shared" si="5"/>
        <v>70</v>
      </c>
      <c r="B83" s="1">
        <f t="shared" si="6"/>
        <v>2322.1695843724815</v>
      </c>
      <c r="C83" s="1">
        <f t="shared" si="7"/>
        <v>1726.1029940215599</v>
      </c>
      <c r="D83" s="1">
        <f t="shared" si="8"/>
        <v>596.06659035092173</v>
      </c>
      <c r="E83" s="1">
        <f t="shared" si="9"/>
        <v>100456.74106613644</v>
      </c>
    </row>
    <row r="84" spans="1:5">
      <c r="A84">
        <f t="shared" si="5"/>
        <v>71</v>
      </c>
      <c r="B84" s="1">
        <f t="shared" si="6"/>
        <v>2322.1695843724815</v>
      </c>
      <c r="C84" s="1">
        <f t="shared" si="7"/>
        <v>1736.1719281533524</v>
      </c>
      <c r="D84" s="1">
        <f t="shared" si="8"/>
        <v>585.99765621912923</v>
      </c>
      <c r="E84" s="1">
        <f t="shared" si="9"/>
        <v>98720.569137983082</v>
      </c>
    </row>
    <row r="85" spans="1:5">
      <c r="A85">
        <f t="shared" si="5"/>
        <v>72</v>
      </c>
      <c r="B85" s="1">
        <f t="shared" si="6"/>
        <v>2322.1695843724815</v>
      </c>
      <c r="C85" s="1">
        <f t="shared" si="7"/>
        <v>1746.2995977342468</v>
      </c>
      <c r="D85" s="1">
        <f t="shared" si="8"/>
        <v>575.86998663823465</v>
      </c>
      <c r="E85" s="1">
        <f t="shared" si="9"/>
        <v>96974.269540248832</v>
      </c>
    </row>
    <row r="86" spans="1:5">
      <c r="A86">
        <f t="shared" si="5"/>
        <v>73</v>
      </c>
      <c r="B86" s="1">
        <f t="shared" si="6"/>
        <v>2322.1695843724815</v>
      </c>
      <c r="C86" s="1">
        <f t="shared" si="7"/>
        <v>1756.4863453876965</v>
      </c>
      <c r="D86" s="1">
        <f t="shared" si="8"/>
        <v>565.68323898478491</v>
      </c>
      <c r="E86" s="1">
        <f t="shared" si="9"/>
        <v>95217.783194861142</v>
      </c>
    </row>
    <row r="87" spans="1:5">
      <c r="A87">
        <f t="shared" si="5"/>
        <v>74</v>
      </c>
      <c r="B87" s="1">
        <f t="shared" si="6"/>
        <v>2322.1695843724815</v>
      </c>
      <c r="C87" s="1">
        <f t="shared" si="7"/>
        <v>1766.7325157357914</v>
      </c>
      <c r="D87" s="1">
        <f t="shared" si="8"/>
        <v>555.43706863669001</v>
      </c>
      <c r="E87" s="1">
        <f t="shared" si="9"/>
        <v>93451.050679125357</v>
      </c>
    </row>
    <row r="88" spans="1:5">
      <c r="A88">
        <f t="shared" si="5"/>
        <v>75</v>
      </c>
      <c r="B88" s="1">
        <f t="shared" si="6"/>
        <v>2322.1695843724815</v>
      </c>
      <c r="C88" s="1">
        <f t="shared" si="7"/>
        <v>1777.0384554109169</v>
      </c>
      <c r="D88" s="1">
        <f t="shared" si="8"/>
        <v>545.13112896156463</v>
      </c>
      <c r="E88" s="1">
        <f t="shared" si="9"/>
        <v>91674.012223714439</v>
      </c>
    </row>
    <row r="89" spans="1:5">
      <c r="A89">
        <f t="shared" si="5"/>
        <v>76</v>
      </c>
      <c r="B89" s="1">
        <f t="shared" si="6"/>
        <v>2322.1695843724815</v>
      </c>
      <c r="C89" s="1">
        <f t="shared" si="7"/>
        <v>1787.4045130674806</v>
      </c>
      <c r="D89" s="1">
        <f t="shared" si="8"/>
        <v>534.7650713050009</v>
      </c>
      <c r="E89" s="1">
        <f t="shared" si="9"/>
        <v>89886.60771064696</v>
      </c>
    </row>
    <row r="90" spans="1:5">
      <c r="A90">
        <f t="shared" si="5"/>
        <v>77</v>
      </c>
      <c r="B90" s="1">
        <f t="shared" si="6"/>
        <v>2322.1695843724815</v>
      </c>
      <c r="C90" s="1">
        <f t="shared" si="7"/>
        <v>1797.8310393937077</v>
      </c>
      <c r="D90" s="1">
        <f t="shared" si="8"/>
        <v>524.33854497877394</v>
      </c>
      <c r="E90" s="1">
        <f t="shared" si="9"/>
        <v>88088.776671253247</v>
      </c>
    </row>
    <row r="91" spans="1:5">
      <c r="A91">
        <f t="shared" si="5"/>
        <v>78</v>
      </c>
      <c r="B91" s="1">
        <f t="shared" si="6"/>
        <v>2322.1695843724815</v>
      </c>
      <c r="C91" s="1">
        <f t="shared" si="7"/>
        <v>1808.3183871235042</v>
      </c>
      <c r="D91" s="1">
        <f t="shared" si="8"/>
        <v>513.85119724897731</v>
      </c>
      <c r="E91" s="1">
        <f t="shared" si="9"/>
        <v>86280.458284129738</v>
      </c>
    </row>
    <row r="92" spans="1:5">
      <c r="A92">
        <f t="shared" si="5"/>
        <v>79</v>
      </c>
      <c r="B92" s="1">
        <f t="shared" si="6"/>
        <v>2322.1695843724815</v>
      </c>
      <c r="C92" s="1">
        <f t="shared" si="7"/>
        <v>1818.8669110483913</v>
      </c>
      <c r="D92" s="1">
        <f t="shared" si="8"/>
        <v>503.30267332409016</v>
      </c>
      <c r="E92" s="1">
        <f t="shared" si="9"/>
        <v>84461.591373081348</v>
      </c>
    </row>
    <row r="93" spans="1:5">
      <c r="A93">
        <f t="shared" si="5"/>
        <v>80</v>
      </c>
      <c r="B93" s="1">
        <f t="shared" si="6"/>
        <v>2322.1695843724815</v>
      </c>
      <c r="C93" s="1">
        <f t="shared" si="7"/>
        <v>1829.4769680295069</v>
      </c>
      <c r="D93" s="1">
        <f t="shared" si="8"/>
        <v>492.69261634297453</v>
      </c>
      <c r="E93" s="1">
        <f t="shared" si="9"/>
        <v>82632.114405051834</v>
      </c>
    </row>
    <row r="94" spans="1:5">
      <c r="A94">
        <f t="shared" si="5"/>
        <v>81</v>
      </c>
      <c r="B94" s="1">
        <f t="shared" si="6"/>
        <v>2322.1695843724815</v>
      </c>
      <c r="C94" s="1">
        <f t="shared" si="7"/>
        <v>1840.1489170096791</v>
      </c>
      <c r="D94" s="1">
        <f t="shared" si="8"/>
        <v>482.02066736280239</v>
      </c>
      <c r="E94" s="1">
        <f t="shared" si="9"/>
        <v>80791.965488042159</v>
      </c>
    </row>
    <row r="95" spans="1:5">
      <c r="A95">
        <f t="shared" si="5"/>
        <v>82</v>
      </c>
      <c r="B95" s="1">
        <f t="shared" si="6"/>
        <v>2322.1695843724815</v>
      </c>
      <c r="C95" s="1">
        <f t="shared" si="7"/>
        <v>1850.8831190255689</v>
      </c>
      <c r="D95" s="1">
        <f t="shared" si="8"/>
        <v>471.28646534691262</v>
      </c>
      <c r="E95" s="1">
        <f t="shared" si="9"/>
        <v>78941.082369016585</v>
      </c>
    </row>
    <row r="96" spans="1:5">
      <c r="A96">
        <f t="shared" si="5"/>
        <v>83</v>
      </c>
      <c r="B96" s="1">
        <f t="shared" si="6"/>
        <v>2322.1695843724815</v>
      </c>
      <c r="C96" s="1">
        <f t="shared" si="7"/>
        <v>1861.6799372198848</v>
      </c>
      <c r="D96" s="1">
        <f t="shared" si="8"/>
        <v>460.48964715259677</v>
      </c>
      <c r="E96" s="1">
        <f t="shared" si="9"/>
        <v>77079.402431796698</v>
      </c>
    </row>
    <row r="97" spans="1:5">
      <c r="A97">
        <f t="shared" si="5"/>
        <v>84</v>
      </c>
      <c r="B97" s="1">
        <f t="shared" si="6"/>
        <v>2322.1695843724815</v>
      </c>
      <c r="C97" s="1">
        <f t="shared" si="7"/>
        <v>1872.5397368536674</v>
      </c>
      <c r="D97" s="1">
        <f t="shared" si="8"/>
        <v>449.62984751881407</v>
      </c>
      <c r="E97" s="1">
        <f t="shared" si="9"/>
        <v>75206.862694943033</v>
      </c>
    </row>
    <row r="98" spans="1:5">
      <c r="A98">
        <f t="shared" si="5"/>
        <v>85</v>
      </c>
      <c r="B98" s="1">
        <f t="shared" si="6"/>
        <v>2322.1695843724815</v>
      </c>
      <c r="C98" s="1">
        <f t="shared" si="7"/>
        <v>1883.4628853186471</v>
      </c>
      <c r="D98" s="1">
        <f t="shared" si="8"/>
        <v>438.70669905383437</v>
      </c>
      <c r="E98" s="1">
        <f t="shared" si="9"/>
        <v>73323.399809624389</v>
      </c>
    </row>
    <row r="99" spans="1:5">
      <c r="A99">
        <f t="shared" si="5"/>
        <v>86</v>
      </c>
      <c r="B99" s="1">
        <f t="shared" si="6"/>
        <v>2322.1695843724815</v>
      </c>
      <c r="C99" s="1">
        <f t="shared" si="7"/>
        <v>1894.4497521496726</v>
      </c>
      <c r="D99" s="1">
        <f t="shared" si="8"/>
        <v>427.71983222280898</v>
      </c>
      <c r="E99" s="1">
        <f t="shared" si="9"/>
        <v>71428.950057474722</v>
      </c>
    </row>
    <row r="100" spans="1:5">
      <c r="A100">
        <f t="shared" si="5"/>
        <v>87</v>
      </c>
      <c r="B100" s="1">
        <f t="shared" si="6"/>
        <v>2322.1695843724815</v>
      </c>
      <c r="C100" s="1">
        <f t="shared" si="7"/>
        <v>1905.5007090372123</v>
      </c>
      <c r="D100" s="1">
        <f t="shared" si="8"/>
        <v>416.66887533526921</v>
      </c>
      <c r="E100" s="1">
        <f t="shared" si="9"/>
        <v>69523.449348437513</v>
      </c>
    </row>
    <row r="101" spans="1:5">
      <c r="A101">
        <f t="shared" si="5"/>
        <v>88</v>
      </c>
      <c r="B101" s="1">
        <f t="shared" si="6"/>
        <v>2322.1695843724815</v>
      </c>
      <c r="C101" s="1">
        <f t="shared" si="7"/>
        <v>1916.6161298399293</v>
      </c>
      <c r="D101" s="1">
        <f t="shared" si="8"/>
        <v>405.55345453255217</v>
      </c>
      <c r="E101" s="1">
        <f t="shared" si="9"/>
        <v>67606.833218597589</v>
      </c>
    </row>
    <row r="102" spans="1:5">
      <c r="A102">
        <f t="shared" si="5"/>
        <v>89</v>
      </c>
      <c r="B102" s="1">
        <f t="shared" si="6"/>
        <v>2322.1695843724815</v>
      </c>
      <c r="C102" s="1">
        <f t="shared" si="7"/>
        <v>1927.7963905973288</v>
      </c>
      <c r="D102" s="1">
        <f t="shared" si="8"/>
        <v>394.37319377515263</v>
      </c>
      <c r="E102" s="1">
        <f t="shared" si="9"/>
        <v>65679.036828000259</v>
      </c>
    </row>
    <row r="103" spans="1:5">
      <c r="A103">
        <f t="shared" si="5"/>
        <v>90</v>
      </c>
      <c r="B103" s="1">
        <f t="shared" si="6"/>
        <v>2322.1695843724815</v>
      </c>
      <c r="C103" s="1">
        <f t="shared" si="7"/>
        <v>1939.0418695424801</v>
      </c>
      <c r="D103" s="1">
        <f t="shared" si="8"/>
        <v>383.12771483000154</v>
      </c>
      <c r="E103" s="1">
        <f t="shared" si="9"/>
        <v>63739.994958457777</v>
      </c>
    </row>
    <row r="104" spans="1:5">
      <c r="A104">
        <f t="shared" si="5"/>
        <v>91</v>
      </c>
      <c r="B104" s="1">
        <f t="shared" si="6"/>
        <v>2322.1695843724815</v>
      </c>
      <c r="C104" s="1">
        <f t="shared" si="7"/>
        <v>1950.3529471148111</v>
      </c>
      <c r="D104" s="1">
        <f t="shared" si="8"/>
        <v>371.81663725767038</v>
      </c>
      <c r="E104" s="1">
        <f t="shared" si="9"/>
        <v>61789.642011342963</v>
      </c>
    </row>
    <row r="105" spans="1:5">
      <c r="A105">
        <f t="shared" si="5"/>
        <v>92</v>
      </c>
      <c r="B105" s="1">
        <f t="shared" si="6"/>
        <v>2322.1695843724815</v>
      </c>
      <c r="C105" s="1">
        <f t="shared" si="7"/>
        <v>1961.730005972981</v>
      </c>
      <c r="D105" s="1">
        <f t="shared" si="8"/>
        <v>360.43957839950065</v>
      </c>
      <c r="E105" s="1">
        <f t="shared" si="9"/>
        <v>59827.912005369981</v>
      </c>
    </row>
    <row r="106" spans="1:5">
      <c r="A106">
        <f t="shared" si="5"/>
        <v>93</v>
      </c>
      <c r="B106" s="1">
        <f t="shared" si="6"/>
        <v>2322.1695843724815</v>
      </c>
      <c r="C106" s="1">
        <f t="shared" si="7"/>
        <v>1973.1734310078232</v>
      </c>
      <c r="D106" s="1">
        <f t="shared" si="8"/>
        <v>348.99615336465826</v>
      </c>
      <c r="E106" s="1">
        <f t="shared" si="9"/>
        <v>57854.738574362156</v>
      </c>
    </row>
    <row r="107" spans="1:5">
      <c r="A107">
        <f t="shared" si="5"/>
        <v>94</v>
      </c>
      <c r="B107" s="1">
        <f t="shared" si="6"/>
        <v>2322.1695843724815</v>
      </c>
      <c r="C107" s="1">
        <f t="shared" si="7"/>
        <v>1984.6836093553688</v>
      </c>
      <c r="D107" s="1">
        <f t="shared" si="8"/>
        <v>337.48597501711259</v>
      </c>
      <c r="E107" s="1">
        <f t="shared" si="9"/>
        <v>55870.054965006784</v>
      </c>
    </row>
    <row r="108" spans="1:5">
      <c r="A108">
        <f t="shared" si="5"/>
        <v>95</v>
      </c>
      <c r="B108" s="1">
        <f t="shared" si="6"/>
        <v>2322.1695843724815</v>
      </c>
      <c r="C108" s="1">
        <f t="shared" si="7"/>
        <v>1996.2609304099419</v>
      </c>
      <c r="D108" s="1">
        <f t="shared" si="8"/>
        <v>325.90865396253957</v>
      </c>
      <c r="E108" s="1">
        <f t="shared" si="9"/>
        <v>53873.794034596845</v>
      </c>
    </row>
    <row r="109" spans="1:5">
      <c r="A109">
        <f t="shared" si="5"/>
        <v>96</v>
      </c>
      <c r="B109" s="1">
        <f t="shared" si="6"/>
        <v>2322.1695843724815</v>
      </c>
      <c r="C109" s="1">
        <f t="shared" si="7"/>
        <v>2007.9057858373333</v>
      </c>
      <c r="D109" s="1">
        <f t="shared" si="8"/>
        <v>314.26379853514828</v>
      </c>
      <c r="E109" s="1">
        <f t="shared" si="9"/>
        <v>51865.888248759511</v>
      </c>
    </row>
    <row r="110" spans="1:5">
      <c r="A110">
        <f t="shared" si="5"/>
        <v>97</v>
      </c>
      <c r="B110" s="1">
        <f t="shared" si="6"/>
        <v>2322.1695843724815</v>
      </c>
      <c r="C110" s="1">
        <f t="shared" si="7"/>
        <v>2019.6185695880511</v>
      </c>
      <c r="D110" s="1">
        <f t="shared" si="8"/>
        <v>302.55101478443049</v>
      </c>
      <c r="E110" s="1">
        <f t="shared" si="9"/>
        <v>49846.269679171462</v>
      </c>
    </row>
    <row r="111" spans="1:5">
      <c r="A111">
        <f t="shared" si="5"/>
        <v>98</v>
      </c>
      <c r="B111" s="1">
        <f t="shared" si="6"/>
        <v>2322.1695843724815</v>
      </c>
      <c r="C111" s="1">
        <f t="shared" si="7"/>
        <v>2031.3996779106478</v>
      </c>
      <c r="D111" s="1">
        <f t="shared" si="8"/>
        <v>290.76990646183356</v>
      </c>
      <c r="E111" s="1">
        <f t="shared" si="9"/>
        <v>47814.870001260817</v>
      </c>
    </row>
    <row r="112" spans="1:5">
      <c r="A112">
        <f t="shared" si="5"/>
        <v>99</v>
      </c>
      <c r="B112" s="1">
        <f t="shared" si="6"/>
        <v>2322.1695843724815</v>
      </c>
      <c r="C112" s="1">
        <f t="shared" si="7"/>
        <v>2043.2495093651266</v>
      </c>
      <c r="D112" s="1">
        <f t="shared" si="8"/>
        <v>278.9200750073548</v>
      </c>
      <c r="E112" s="1">
        <f t="shared" si="9"/>
        <v>45771.620491895694</v>
      </c>
    </row>
    <row r="113" spans="1:5">
      <c r="A113">
        <f t="shared" si="5"/>
        <v>100</v>
      </c>
      <c r="B113" s="1">
        <f t="shared" si="6"/>
        <v>2322.1695843724815</v>
      </c>
      <c r="C113" s="1">
        <f t="shared" si="7"/>
        <v>2055.1684648364235</v>
      </c>
      <c r="D113" s="1">
        <f t="shared" si="8"/>
        <v>267.00111953605824</v>
      </c>
      <c r="E113" s="1">
        <f t="shared" si="9"/>
        <v>43716.452027059269</v>
      </c>
    </row>
    <row r="114" spans="1:5">
      <c r="A114">
        <f t="shared" si="5"/>
        <v>101</v>
      </c>
      <c r="B114" s="1">
        <f t="shared" si="6"/>
        <v>2322.1695843724815</v>
      </c>
      <c r="C114" s="1">
        <f t="shared" si="7"/>
        <v>2067.1569475479691</v>
      </c>
      <c r="D114" s="1">
        <f t="shared" si="8"/>
        <v>255.01263682451241</v>
      </c>
      <c r="E114" s="1">
        <f t="shared" si="9"/>
        <v>41649.295079511299</v>
      </c>
    </row>
    <row r="115" spans="1:5">
      <c r="A115">
        <f t="shared" si="5"/>
        <v>102</v>
      </c>
      <c r="B115" s="1">
        <f t="shared" si="6"/>
        <v>2322.1695843724815</v>
      </c>
      <c r="C115" s="1">
        <f t="shared" si="7"/>
        <v>2079.2153630753323</v>
      </c>
      <c r="D115" s="1">
        <f t="shared" si="8"/>
        <v>242.95422129714925</v>
      </c>
      <c r="E115" s="1">
        <f t="shared" si="9"/>
        <v>39570.079716435968</v>
      </c>
    </row>
    <row r="116" spans="1:5">
      <c r="A116">
        <f t="shared" si="5"/>
        <v>103</v>
      </c>
      <c r="B116" s="1">
        <f t="shared" si="6"/>
        <v>2322.1695843724815</v>
      </c>
      <c r="C116" s="1">
        <f t="shared" si="7"/>
        <v>2091.3441193599383</v>
      </c>
      <c r="D116" s="1">
        <f t="shared" si="8"/>
        <v>230.82546501254316</v>
      </c>
      <c r="E116" s="1">
        <f t="shared" si="9"/>
        <v>37478.735597076033</v>
      </c>
    </row>
    <row r="117" spans="1:5">
      <c r="A117">
        <f t="shared" si="5"/>
        <v>104</v>
      </c>
      <c r="B117" s="1">
        <f t="shared" si="6"/>
        <v>2322.1695843724815</v>
      </c>
      <c r="C117" s="1">
        <f t="shared" si="7"/>
        <v>2103.5436267228715</v>
      </c>
      <c r="D117" s="1">
        <f t="shared" si="8"/>
        <v>218.6259576496102</v>
      </c>
      <c r="E117" s="1">
        <f t="shared" si="9"/>
        <v>35375.19197035316</v>
      </c>
    </row>
    <row r="118" spans="1:5">
      <c r="A118">
        <f t="shared" si="5"/>
        <v>105</v>
      </c>
      <c r="B118" s="1">
        <f t="shared" si="6"/>
        <v>2322.1695843724815</v>
      </c>
      <c r="C118" s="1">
        <f t="shared" si="7"/>
        <v>2115.8142978787546</v>
      </c>
      <c r="D118" s="1">
        <f t="shared" si="8"/>
        <v>206.35528649372677</v>
      </c>
      <c r="E118" s="1">
        <f t="shared" si="9"/>
        <v>33259.377672474409</v>
      </c>
    </row>
    <row r="119" spans="1:5">
      <c r="A119">
        <f t="shared" si="5"/>
        <v>106</v>
      </c>
      <c r="B119" s="1">
        <f t="shared" si="6"/>
        <v>2322.1695843724815</v>
      </c>
      <c r="C119" s="1">
        <f t="shared" si="7"/>
        <v>2128.156547949714</v>
      </c>
      <c r="D119" s="1">
        <f t="shared" si="8"/>
        <v>194.01303642276739</v>
      </c>
      <c r="E119" s="1">
        <f t="shared" si="9"/>
        <v>31131.221124524694</v>
      </c>
    </row>
    <row r="120" spans="1:5">
      <c r="A120">
        <f t="shared" si="5"/>
        <v>107</v>
      </c>
      <c r="B120" s="1">
        <f t="shared" si="6"/>
        <v>2322.1695843724815</v>
      </c>
      <c r="C120" s="1">
        <f t="shared" si="7"/>
        <v>2140.5707944794208</v>
      </c>
      <c r="D120" s="1">
        <f t="shared" si="8"/>
        <v>181.59878989306074</v>
      </c>
      <c r="E120" s="1">
        <f t="shared" si="9"/>
        <v>28990.650330045275</v>
      </c>
    </row>
    <row r="121" spans="1:5">
      <c r="A121">
        <f t="shared" si="5"/>
        <v>108</v>
      </c>
      <c r="B121" s="1">
        <f t="shared" si="6"/>
        <v>2322.1695843724815</v>
      </c>
      <c r="C121" s="1">
        <f t="shared" si="7"/>
        <v>2153.0574574472175</v>
      </c>
      <c r="D121" s="1">
        <f t="shared" si="8"/>
        <v>169.11212692526411</v>
      </c>
      <c r="E121" s="1">
        <f t="shared" si="9"/>
        <v>26837.592872598056</v>
      </c>
    </row>
    <row r="122" spans="1:5">
      <c r="A122">
        <f t="shared" si="5"/>
        <v>109</v>
      </c>
      <c r="B122" s="1">
        <f t="shared" si="6"/>
        <v>2322.1695843724815</v>
      </c>
      <c r="C122" s="1">
        <f t="shared" si="7"/>
        <v>2165.6169592823262</v>
      </c>
      <c r="D122" s="1">
        <f t="shared" si="8"/>
        <v>156.55262509015535</v>
      </c>
      <c r="E122" s="1">
        <f t="shared" si="9"/>
        <v>24671.975913315728</v>
      </c>
    </row>
    <row r="123" spans="1:5">
      <c r="A123">
        <f t="shared" si="5"/>
        <v>110</v>
      </c>
      <c r="B123" s="1">
        <f t="shared" si="6"/>
        <v>2322.1695843724815</v>
      </c>
      <c r="C123" s="1">
        <f t="shared" si="7"/>
        <v>2178.2497248781397</v>
      </c>
      <c r="D123" s="1">
        <f t="shared" si="8"/>
        <v>143.91985949434175</v>
      </c>
      <c r="E123" s="1">
        <f t="shared" si="9"/>
        <v>22493.726188437588</v>
      </c>
    </row>
    <row r="124" spans="1:5">
      <c r="A124">
        <f t="shared" si="5"/>
        <v>111</v>
      </c>
      <c r="B124" s="1">
        <f t="shared" si="6"/>
        <v>2322.1695843724815</v>
      </c>
      <c r="C124" s="1">
        <f t="shared" si="7"/>
        <v>2190.9561816065957</v>
      </c>
      <c r="D124" s="1">
        <f t="shared" si="8"/>
        <v>131.21340276588595</v>
      </c>
      <c r="E124" s="1">
        <f t="shared" si="9"/>
        <v>20302.770006830993</v>
      </c>
    </row>
    <row r="125" spans="1:5">
      <c r="A125">
        <f t="shared" si="5"/>
        <v>112</v>
      </c>
      <c r="B125" s="1">
        <f t="shared" si="6"/>
        <v>2322.1695843724815</v>
      </c>
      <c r="C125" s="1">
        <f t="shared" si="7"/>
        <v>2203.7367593326339</v>
      </c>
      <c r="D125" s="1">
        <f t="shared" si="8"/>
        <v>118.43282503984747</v>
      </c>
      <c r="E125" s="1">
        <f t="shared" si="9"/>
        <v>18099.033247498359</v>
      </c>
    </row>
    <row r="126" spans="1:5">
      <c r="A126">
        <f t="shared" si="5"/>
        <v>113</v>
      </c>
      <c r="B126" s="1">
        <f t="shared" si="6"/>
        <v>2322.1695843724815</v>
      </c>
      <c r="C126" s="1">
        <f t="shared" si="7"/>
        <v>2216.591890428741</v>
      </c>
      <c r="D126" s="1">
        <f t="shared" si="8"/>
        <v>105.57769394374043</v>
      </c>
      <c r="E126" s="1">
        <f t="shared" si="9"/>
        <v>15882.441357069618</v>
      </c>
    </row>
    <row r="127" spans="1:5">
      <c r="A127">
        <f t="shared" si="5"/>
        <v>114</v>
      </c>
      <c r="B127" s="1">
        <f t="shared" si="6"/>
        <v>2322.1695843724815</v>
      </c>
      <c r="C127" s="1">
        <f t="shared" si="7"/>
        <v>2229.5220097895753</v>
      </c>
      <c r="D127" s="1">
        <f t="shared" si="8"/>
        <v>92.647574582906103</v>
      </c>
      <c r="E127" s="1">
        <f t="shared" si="9"/>
        <v>13652.919347280043</v>
      </c>
    </row>
    <row r="128" spans="1:5">
      <c r="A128">
        <f t="shared" si="5"/>
        <v>115</v>
      </c>
      <c r="B128" s="1">
        <f t="shared" si="6"/>
        <v>2322.1695843724815</v>
      </c>
      <c r="C128" s="1">
        <f t="shared" si="7"/>
        <v>2242.5275548466811</v>
      </c>
      <c r="D128" s="1">
        <f t="shared" si="8"/>
        <v>79.642029525800254</v>
      </c>
      <c r="E128" s="1">
        <f t="shared" si="9"/>
        <v>11410.391792433362</v>
      </c>
    </row>
    <row r="129" spans="1:5">
      <c r="A129">
        <f t="shared" si="5"/>
        <v>116</v>
      </c>
      <c r="B129" s="1">
        <f t="shared" si="6"/>
        <v>2322.1695843724815</v>
      </c>
      <c r="C129" s="1">
        <f t="shared" si="7"/>
        <v>2255.608965583287</v>
      </c>
      <c r="D129" s="1">
        <f t="shared" si="8"/>
        <v>66.560618789194621</v>
      </c>
      <c r="E129" s="1">
        <f t="shared" si="9"/>
        <v>9154.7828268500743</v>
      </c>
    </row>
    <row r="130" spans="1:5">
      <c r="A130">
        <f t="shared" si="5"/>
        <v>117</v>
      </c>
      <c r="B130" s="1">
        <f t="shared" si="6"/>
        <v>2322.1695843724815</v>
      </c>
      <c r="C130" s="1">
        <f t="shared" si="7"/>
        <v>2268.7666845491894</v>
      </c>
      <c r="D130" s="1">
        <f t="shared" si="8"/>
        <v>53.402899823292103</v>
      </c>
      <c r="E130" s="1">
        <f t="shared" si="9"/>
        <v>6886.0161423008849</v>
      </c>
    </row>
    <row r="131" spans="1:5">
      <c r="A131">
        <f t="shared" si="5"/>
        <v>118</v>
      </c>
      <c r="B131" s="1">
        <f t="shared" si="6"/>
        <v>2322.1695843724815</v>
      </c>
      <c r="C131" s="1">
        <f t="shared" si="7"/>
        <v>2282.0011568757263</v>
      </c>
      <c r="D131" s="1">
        <f t="shared" si="8"/>
        <v>40.168427496755164</v>
      </c>
      <c r="E131" s="1">
        <f t="shared" si="9"/>
        <v>4604.0149854251586</v>
      </c>
    </row>
    <row r="132" spans="1:5">
      <c r="A132">
        <f t="shared" si="5"/>
        <v>119</v>
      </c>
      <c r="B132" s="1">
        <f t="shared" si="6"/>
        <v>2322.1695843724815</v>
      </c>
      <c r="C132" s="1">
        <f t="shared" si="7"/>
        <v>2295.3128302908349</v>
      </c>
      <c r="D132" s="1">
        <f t="shared" si="8"/>
        <v>26.856754081646759</v>
      </c>
      <c r="E132" s="1">
        <f t="shared" si="9"/>
        <v>2308.7021551343237</v>
      </c>
    </row>
    <row r="133" spans="1:5">
      <c r="A133">
        <f t="shared" si="5"/>
        <v>120</v>
      </c>
      <c r="B133" s="1">
        <f t="shared" si="6"/>
        <v>2322.1695843724815</v>
      </c>
      <c r="C133" s="1">
        <f t="shared" si="7"/>
        <v>2308.7021551341982</v>
      </c>
      <c r="D133" s="1">
        <f t="shared" si="8"/>
        <v>13.467429238283556</v>
      </c>
      <c r="E133" s="1">
        <f t="shared" si="9"/>
        <v>1.255102688446641E-10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T9" sqref="T9"/>
    </sheetView>
  </sheetViews>
  <sheetFormatPr defaultRowHeight="15"/>
  <cols>
    <col min="5" max="5" width="19.570312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7"/>
      <c r="J6" s="127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9"/>
      <c r="J7" s="129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9"/>
      <c r="J8" s="129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9"/>
      <c r="J9" s="129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W7" sqref="W7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7"/>
      <c r="K6" s="127"/>
    </row>
    <row r="7" spans="6:11">
      <c r="F7" s="66" t="s">
        <v>85</v>
      </c>
      <c r="G7" s="94">
        <f>'Profit and Loss Statement'!E21/'Profit and Loss Statement'!E8</f>
        <v>447717.72105454543</v>
      </c>
      <c r="H7" s="94">
        <f>'Profit and Loss Statement'!F21/'Profit and Loss Statement'!F8</f>
        <v>552134.62385454541</v>
      </c>
      <c r="I7" s="94">
        <f>'Profit and Loss Statement'!G21/'Profit and Loss Statement'!G8</f>
        <v>661960.18595381815</v>
      </c>
      <c r="J7" s="128"/>
      <c r="K7" s="128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447717.72105454543</v>
      </c>
      <c r="H11" s="114">
        <f t="shared" ref="H11:K11" si="0">H7</f>
        <v>552134.62385454541</v>
      </c>
      <c r="I11" s="114">
        <f t="shared" si="0"/>
        <v>661960.18595381815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X8" sqref="X8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7"/>
      <c r="J6" s="127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0.5</v>
      </c>
      <c r="H8" s="101">
        <f>'Revenue Overview'!H5</f>
        <v>0.33</v>
      </c>
      <c r="I8" s="129"/>
      <c r="J8" s="129"/>
    </row>
    <row r="9" spans="5:10">
      <c r="E9" s="103" t="s">
        <v>12</v>
      </c>
      <c r="F9" s="104">
        <f>'Profit and Loss Statement'!E8</f>
        <v>0.7857142857142857</v>
      </c>
      <c r="G9" s="104">
        <f>'Profit and Loss Statement'!F8</f>
        <v>0.7857142857142857</v>
      </c>
      <c r="H9" s="101">
        <f>'Profit and Loss Statement'!G8</f>
        <v>0.7857142857142857</v>
      </c>
      <c r="I9" s="129"/>
      <c r="J9" s="129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0.12668177126724303</v>
      </c>
      <c r="G12" s="101">
        <f>'Profit and Loss Statement'!F28/'Profit and Loss Statement'!F6</f>
        <v>0.2023712586668166</v>
      </c>
      <c r="H12" s="101">
        <f>'Profit and Loss Statement'!G28/'Profit and Loss Statement'!G6</f>
        <v>0.23684168084104903</v>
      </c>
      <c r="I12" s="129"/>
      <c r="J12" s="129"/>
    </row>
    <row r="13" spans="5:10">
      <c r="E13" s="66" t="s">
        <v>92</v>
      </c>
      <c r="F13" s="105">
        <f>'Balance Sheet'!E10/'Balance Sheet'!E15</f>
        <v>1.6629431822960106</v>
      </c>
      <c r="G13" s="105">
        <f>'Balance Sheet'!F10/'Balance Sheet'!F15</f>
        <v>2.7414883524129405</v>
      </c>
      <c r="H13" s="105">
        <f>'Balance Sheet'!G10/'Balance Sheet'!G15</f>
        <v>4.5672455477738358</v>
      </c>
      <c r="I13" s="130"/>
      <c r="J13" s="130"/>
    </row>
    <row r="14" spans="5:10">
      <c r="E14" s="66" t="s">
        <v>93</v>
      </c>
      <c r="F14" s="105">
        <f>'Balance Sheet'!E17/'Balance Sheet'!E15</f>
        <v>0.66294318229601057</v>
      </c>
      <c r="G14" s="105">
        <f>'Balance Sheet'!F17/'Balance Sheet'!F15</f>
        <v>1.7414883524129408</v>
      </c>
      <c r="H14" s="105">
        <f>'Balance Sheet'!G17/'Balance Sheet'!G15</f>
        <v>3.5672455477738358</v>
      </c>
      <c r="I14" s="130"/>
      <c r="J14" s="130"/>
    </row>
    <row r="15" spans="5:10">
      <c r="E15" s="66" t="s">
        <v>94</v>
      </c>
      <c r="F15" s="105">
        <f>'Balance Sheet'!E10/'Balance Sheet'!E17</f>
        <v>2.5084248947800329</v>
      </c>
      <c r="G15" s="105">
        <f>'Balance Sheet'!F10/'Balance Sheet'!F17</f>
        <v>1.5742214690178304</v>
      </c>
      <c r="H15" s="105">
        <f>'Balance Sheet'!G10/'Balance Sheet'!G17</f>
        <v>1.2803283336141682</v>
      </c>
      <c r="I15" s="130"/>
      <c r="J15" s="130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0.34772012536308283</v>
      </c>
      <c r="G18" s="105">
        <f>'Balance Sheet'!F7/'Balance Sheet'!F10</f>
        <v>0.45000283981883948</v>
      </c>
      <c r="H18" s="105">
        <f>'Balance Sheet'!G7/'Balance Sheet'!G10</f>
        <v>0.57107827354019658</v>
      </c>
      <c r="I18" s="130"/>
      <c r="J18" s="130"/>
    </row>
    <row r="19" spans="5:10">
      <c r="E19" s="66" t="s">
        <v>96</v>
      </c>
      <c r="F19" s="105">
        <f>'Balance Sheet'!E7/'Balance Sheet'!E15</f>
        <v>0.57823881181965275</v>
      </c>
      <c r="G19" s="105">
        <f>'Balance Sheet'!F7/'Balance Sheet'!F15</f>
        <v>1.2336775439160947</v>
      </c>
      <c r="H19" s="105">
        <f>'Balance Sheet'!G7/'Balance Sheet'!G15</f>
        <v>2.6082547022568314</v>
      </c>
      <c r="I19" s="130"/>
      <c r="J19" s="130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C24" sqref="C24:D29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115</v>
      </c>
      <c r="C5" s="14">
        <v>75000</v>
      </c>
      <c r="G5" s="11" t="s">
        <v>9</v>
      </c>
      <c r="H5" s="16">
        <v>1</v>
      </c>
      <c r="I5" s="16">
        <v>2</v>
      </c>
      <c r="J5" s="117">
        <v>3</v>
      </c>
      <c r="M5" s="43"/>
      <c r="N5" s="43"/>
    </row>
    <row r="6" spans="2:14">
      <c r="B6" s="4" t="s">
        <v>125</v>
      </c>
      <c r="C6" s="14">
        <v>65000</v>
      </c>
      <c r="G6" s="4" t="str">
        <f>B5</f>
        <v>Senior Management</v>
      </c>
      <c r="H6" s="14">
        <f t="shared" ref="H6:H15" si="0">H18*C5</f>
        <v>75000</v>
      </c>
      <c r="I6" s="14">
        <f t="shared" ref="I6:I15" si="1">D58*I18</f>
        <v>77250</v>
      </c>
      <c r="J6" s="14">
        <f t="shared" ref="J6:J15" si="2">E58*J18</f>
        <v>79567.5</v>
      </c>
      <c r="M6" s="118"/>
      <c r="N6" s="118"/>
    </row>
    <row r="7" spans="2:14">
      <c r="B7" s="4" t="s">
        <v>126</v>
      </c>
      <c r="C7" s="14">
        <v>50000</v>
      </c>
      <c r="G7" s="4" t="str">
        <f>B6</f>
        <v>Operational Manager</v>
      </c>
      <c r="H7" s="14">
        <f t="shared" si="0"/>
        <v>65000</v>
      </c>
      <c r="I7" s="14">
        <f t="shared" si="1"/>
        <v>66950</v>
      </c>
      <c r="J7" s="14">
        <f t="shared" si="2"/>
        <v>68958.5</v>
      </c>
      <c r="M7" s="118"/>
      <c r="N7" s="118"/>
    </row>
    <row r="8" spans="2:14">
      <c r="B8" s="4" t="s">
        <v>133</v>
      </c>
      <c r="C8" s="14">
        <v>37500</v>
      </c>
      <c r="G8" s="4" t="str">
        <f>B7</f>
        <v>Drivers</v>
      </c>
      <c r="H8" s="14">
        <f t="shared" si="0"/>
        <v>100000</v>
      </c>
      <c r="I8" s="14">
        <f t="shared" si="1"/>
        <v>154500</v>
      </c>
      <c r="J8" s="14">
        <f t="shared" si="2"/>
        <v>212180</v>
      </c>
      <c r="M8" s="118"/>
      <c r="N8" s="118"/>
    </row>
    <row r="9" spans="2:14">
      <c r="B9" s="4" t="s">
        <v>124</v>
      </c>
      <c r="C9" s="14">
        <v>0</v>
      </c>
      <c r="G9" s="4" t="str">
        <f>B8</f>
        <v>Administrative Manager</v>
      </c>
      <c r="H9" s="14">
        <f t="shared" si="0"/>
        <v>37500</v>
      </c>
      <c r="I9" s="14">
        <f t="shared" si="1"/>
        <v>38625</v>
      </c>
      <c r="J9" s="14">
        <f t="shared" si="2"/>
        <v>39783.75</v>
      </c>
      <c r="M9" s="118"/>
      <c r="N9" s="118"/>
    </row>
    <row r="10" spans="2:14">
      <c r="B10" s="4" t="s">
        <v>119</v>
      </c>
      <c r="C10" s="14">
        <v>0</v>
      </c>
      <c r="G10" s="4" t="str">
        <f>B9</f>
        <v>Position 5</v>
      </c>
      <c r="H10" s="14">
        <f t="shared" si="0"/>
        <v>0</v>
      </c>
      <c r="I10" s="14">
        <f t="shared" si="1"/>
        <v>0</v>
      </c>
      <c r="J10" s="14">
        <f t="shared" si="2"/>
        <v>0</v>
      </c>
      <c r="M10" s="118"/>
      <c r="N10" s="118"/>
    </row>
    <row r="11" spans="2:14">
      <c r="B11" s="4" t="s">
        <v>135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8"/>
      <c r="N11" s="118"/>
    </row>
    <row r="12" spans="2:14">
      <c r="B12" s="4" t="s">
        <v>136</v>
      </c>
      <c r="C12" s="14">
        <v>0</v>
      </c>
      <c r="G12" s="4" t="str">
        <f>B30</f>
        <v>Postion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8"/>
      <c r="N12" s="118"/>
    </row>
    <row r="13" spans="2:14">
      <c r="B13" s="4" t="s">
        <v>137</v>
      </c>
      <c r="C13" s="14">
        <v>0</v>
      </c>
      <c r="G13" s="4" t="str">
        <f>B31</f>
        <v>Postion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8"/>
      <c r="N13" s="118"/>
    </row>
    <row r="14" spans="2:14">
      <c r="B14" s="4" t="s">
        <v>120</v>
      </c>
      <c r="C14" s="14">
        <v>0</v>
      </c>
      <c r="G14" s="4" t="str">
        <f>B32</f>
        <v>Postion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8"/>
      <c r="N14" s="118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8"/>
      <c r="N15" s="118"/>
    </row>
    <row r="16" spans="2:14">
      <c r="G16" s="10" t="s">
        <v>8</v>
      </c>
      <c r="H16" s="9">
        <f>SUM(H6:H15)</f>
        <v>277500</v>
      </c>
      <c r="I16" s="9">
        <f t="shared" ref="I16:J16" si="3">SUM(I6:I15)</f>
        <v>337325</v>
      </c>
      <c r="J16" s="9">
        <f t="shared" si="3"/>
        <v>400489.75</v>
      </c>
      <c r="M16" s="119"/>
      <c r="N16" s="119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Drivers</v>
      </c>
      <c r="H20" s="4">
        <f t="shared" si="4"/>
        <v>2</v>
      </c>
      <c r="I20" s="4">
        <f t="shared" si="5"/>
        <v>3</v>
      </c>
      <c r="J20" s="4">
        <f t="shared" si="6"/>
        <v>4</v>
      </c>
      <c r="M20" s="30"/>
      <c r="N20" s="30"/>
    </row>
    <row r="21" spans="2:20">
      <c r="G21" s="4" t="str">
        <f>G9</f>
        <v>Administrative Manager</v>
      </c>
      <c r="H21" s="4">
        <f t="shared" si="4"/>
        <v>1</v>
      </c>
      <c r="I21" s="4">
        <f t="shared" si="5"/>
        <v>1</v>
      </c>
      <c r="J21" s="4">
        <f t="shared" si="6"/>
        <v>1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Position 5</v>
      </c>
      <c r="H22" s="4">
        <f t="shared" si="4"/>
        <v>0</v>
      </c>
      <c r="I22" s="4">
        <f t="shared" si="5"/>
        <v>0</v>
      </c>
      <c r="J22" s="4">
        <f t="shared" si="6"/>
        <v>0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1"/>
      <c r="G24" s="4" t="str">
        <f t="shared" si="7"/>
        <v>Postion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 t="shared" ref="B25:B33" si="8">B6</f>
        <v>Operational Manager</v>
      </c>
      <c r="C25" s="5">
        <v>1</v>
      </c>
      <c r="D25" s="5">
        <v>1</v>
      </c>
      <c r="E25" s="5">
        <v>1</v>
      </c>
      <c r="G25" s="4" t="str">
        <f t="shared" si="7"/>
        <v>Postion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 t="shared" si="8"/>
        <v>Drivers</v>
      </c>
      <c r="C26" s="5">
        <v>2</v>
      </c>
      <c r="D26" s="5">
        <v>3</v>
      </c>
      <c r="E26" s="5">
        <v>4</v>
      </c>
      <c r="F26" s="141"/>
      <c r="G26" s="4" t="str">
        <f t="shared" si="7"/>
        <v>Postion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 t="shared" si="8"/>
        <v>Administrative Manager</v>
      </c>
      <c r="C27" s="5">
        <v>1</v>
      </c>
      <c r="D27" s="5">
        <v>1</v>
      </c>
      <c r="E27" s="5">
        <v>1</v>
      </c>
      <c r="F27" s="141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 t="shared" si="8"/>
        <v>Position 5</v>
      </c>
      <c r="C28" s="5"/>
      <c r="D28" s="5"/>
      <c r="E28" s="5"/>
      <c r="F28" s="141"/>
      <c r="G28" s="10" t="s">
        <v>8</v>
      </c>
      <c r="H28" s="10">
        <f>SUM(H18:H27)</f>
        <v>5</v>
      </c>
      <c r="I28" s="10">
        <f t="shared" ref="I28:J28" si="9">SUM(I18:I27)</f>
        <v>6</v>
      </c>
      <c r="J28" s="10">
        <f t="shared" si="9"/>
        <v>7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tr">
        <f t="shared" si="8"/>
        <v>Position 6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tr">
        <f t="shared" si="8"/>
        <v>Postion 7</v>
      </c>
      <c r="C30" s="5"/>
      <c r="D30" s="5"/>
      <c r="E30" s="5"/>
      <c r="L30" s="112"/>
      <c r="M30" s="112"/>
      <c r="O30" s="115"/>
      <c r="P30" s="115"/>
      <c r="Q30" s="115"/>
      <c r="R30" s="115"/>
      <c r="S30" s="115"/>
      <c r="T30" s="115"/>
    </row>
    <row r="31" spans="2:20">
      <c r="B31" s="15" t="str">
        <f t="shared" si="8"/>
        <v>Postion 8</v>
      </c>
      <c r="C31" s="5"/>
      <c r="D31" s="5"/>
      <c r="E31" s="5"/>
      <c r="L31" s="112" t="str">
        <f>G6</f>
        <v>Senior Management</v>
      </c>
      <c r="M31" s="113">
        <f>J6/$J$16</f>
        <v>0.19867549668874171</v>
      </c>
      <c r="O31" s="115"/>
      <c r="P31" s="115"/>
      <c r="Q31" s="115"/>
      <c r="R31" s="115"/>
      <c r="S31" s="115"/>
      <c r="T31" s="115"/>
    </row>
    <row r="32" spans="2:20">
      <c r="B32" s="15" t="str">
        <f t="shared" si="8"/>
        <v>Postion 9</v>
      </c>
      <c r="C32" s="5"/>
      <c r="D32" s="5"/>
      <c r="E32" s="5"/>
      <c r="F32" s="30"/>
      <c r="G32" s="30"/>
      <c r="L32" s="112" t="str">
        <f>G7</f>
        <v>Operational Manager</v>
      </c>
      <c r="M32" s="113">
        <f>J7/$J$16</f>
        <v>0.17218543046357615</v>
      </c>
      <c r="O32" s="115"/>
      <c r="P32" s="115"/>
      <c r="Q32" s="115"/>
      <c r="T32" s="115"/>
    </row>
    <row r="33" spans="2:20">
      <c r="B33" s="15" t="str">
        <f t="shared" si="8"/>
        <v>Position 10</v>
      </c>
      <c r="C33" s="5"/>
      <c r="D33" s="5"/>
      <c r="E33" s="5"/>
      <c r="F33" s="30"/>
      <c r="G33" s="30"/>
      <c r="L33" s="112" t="str">
        <f>G8</f>
        <v>Drivers</v>
      </c>
      <c r="M33" s="113">
        <f>J8/$J$16</f>
        <v>0.5298013245033113</v>
      </c>
      <c r="O33" s="115"/>
      <c r="P33" s="115"/>
      <c r="Q33" s="115"/>
      <c r="T33" s="115"/>
    </row>
    <row r="34" spans="2:20">
      <c r="F34" s="43"/>
      <c r="G34" s="43"/>
      <c r="L34" s="112" t="str">
        <f>G9</f>
        <v>Administrative Manager</v>
      </c>
      <c r="M34" s="113">
        <f>J9/$J$16</f>
        <v>9.9337748344370855E-2</v>
      </c>
      <c r="O34" s="115"/>
      <c r="P34" s="115"/>
      <c r="Q34" s="115"/>
      <c r="T34" s="115"/>
    </row>
    <row r="35" spans="2:20">
      <c r="F35" s="43"/>
      <c r="G35" s="43"/>
      <c r="L35" s="112" t="str">
        <f>G10</f>
        <v>Position 5</v>
      </c>
      <c r="M35" s="113">
        <f>J10/$J$16</f>
        <v>0</v>
      </c>
      <c r="O35" s="115"/>
      <c r="P35" s="115"/>
      <c r="Q35" s="115"/>
      <c r="T35" s="115"/>
    </row>
    <row r="36" spans="2:20">
      <c r="F36" s="43"/>
      <c r="G36" s="43"/>
      <c r="L36" s="112"/>
      <c r="M36" s="112"/>
      <c r="O36" s="115"/>
      <c r="P36" s="115"/>
      <c r="Q36" s="115"/>
      <c r="T36" s="115"/>
    </row>
    <row r="37" spans="2:20">
      <c r="F37" s="43"/>
      <c r="G37" s="43"/>
      <c r="L37" s="112"/>
      <c r="M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75000</v>
      </c>
      <c r="D58" s="14">
        <f>C58*(1+$C$53)</f>
        <v>77250</v>
      </c>
      <c r="E58" s="14">
        <f>D58*(1+$C$53)</f>
        <v>79567.5</v>
      </c>
      <c r="F58" s="14">
        <f>E58*(1+$C$53)</f>
        <v>81954.525000000009</v>
      </c>
      <c r="G58" s="14">
        <f>F58*(1+$C$53)</f>
        <v>84413.16075000001</v>
      </c>
    </row>
    <row r="59" spans="2:7">
      <c r="B59" s="4" t="str">
        <f t="shared" ref="B59:C67" si="10">B6</f>
        <v>Operational Manager</v>
      </c>
      <c r="C59" s="14">
        <f t="shared" si="10"/>
        <v>65000</v>
      </c>
      <c r="D59" s="14">
        <f t="shared" ref="D59:G59" si="11">C59*(1+$C$53)</f>
        <v>66950</v>
      </c>
      <c r="E59" s="14">
        <f t="shared" si="11"/>
        <v>68958.5</v>
      </c>
      <c r="F59" s="14">
        <f t="shared" si="11"/>
        <v>71027.255000000005</v>
      </c>
      <c r="G59" s="14">
        <f t="shared" si="11"/>
        <v>73158.072650000002</v>
      </c>
    </row>
    <row r="60" spans="2:7">
      <c r="B60" s="4" t="str">
        <f t="shared" si="10"/>
        <v>Drivers</v>
      </c>
      <c r="C60" s="14">
        <f t="shared" si="10"/>
        <v>50000</v>
      </c>
      <c r="D60" s="14">
        <f t="shared" ref="D60:G60" si="12">C60*(1+$C$53)</f>
        <v>51500</v>
      </c>
      <c r="E60" s="14">
        <f t="shared" si="12"/>
        <v>53045</v>
      </c>
      <c r="F60" s="14">
        <f t="shared" si="12"/>
        <v>54636.35</v>
      </c>
      <c r="G60" s="14">
        <f t="shared" si="12"/>
        <v>56275.440499999997</v>
      </c>
    </row>
    <row r="61" spans="2:7">
      <c r="B61" s="4" t="str">
        <f t="shared" si="10"/>
        <v>Administrative Manager</v>
      </c>
      <c r="C61" s="14">
        <f t="shared" si="10"/>
        <v>37500</v>
      </c>
      <c r="D61" s="14">
        <f t="shared" ref="D61:G61" si="13">C61*(1+$C$53)</f>
        <v>38625</v>
      </c>
      <c r="E61" s="14">
        <f t="shared" si="13"/>
        <v>39783.75</v>
      </c>
      <c r="F61" s="14">
        <f t="shared" si="13"/>
        <v>40977.262500000004</v>
      </c>
      <c r="G61" s="14">
        <f t="shared" si="13"/>
        <v>42206.580375000005</v>
      </c>
    </row>
    <row r="62" spans="2:7">
      <c r="B62" s="4" t="str">
        <f t="shared" si="10"/>
        <v>Position 5</v>
      </c>
      <c r="C62" s="14">
        <f t="shared" si="10"/>
        <v>0</v>
      </c>
      <c r="D62" s="14">
        <f t="shared" ref="D62:G62" si="14">C62*(1+$C$53)</f>
        <v>0</v>
      </c>
      <c r="E62" s="14">
        <f t="shared" si="14"/>
        <v>0</v>
      </c>
      <c r="F62" s="14">
        <f t="shared" si="14"/>
        <v>0</v>
      </c>
      <c r="G62" s="14">
        <f t="shared" si="14"/>
        <v>0</v>
      </c>
    </row>
    <row r="63" spans="2:7">
      <c r="B63" s="4" t="str">
        <f t="shared" si="10"/>
        <v>Position 6</v>
      </c>
      <c r="C63" s="14">
        <f t="shared" si="10"/>
        <v>0</v>
      </c>
      <c r="D63" s="14">
        <f t="shared" ref="D63:G63" si="15">C63*(1+$C$53)</f>
        <v>0</v>
      </c>
      <c r="E63" s="14">
        <f t="shared" si="15"/>
        <v>0</v>
      </c>
      <c r="F63" s="14">
        <f t="shared" si="15"/>
        <v>0</v>
      </c>
      <c r="G63" s="14">
        <f t="shared" si="15"/>
        <v>0</v>
      </c>
    </row>
    <row r="64" spans="2:7">
      <c r="B64" s="4" t="str">
        <f t="shared" si="10"/>
        <v>Postion 7</v>
      </c>
      <c r="C64" s="14">
        <f t="shared" si="10"/>
        <v>0</v>
      </c>
      <c r="D64" s="14">
        <f t="shared" ref="D64:G64" si="16">C64*(1+$C$53)</f>
        <v>0</v>
      </c>
      <c r="E64" s="14">
        <f t="shared" si="16"/>
        <v>0</v>
      </c>
      <c r="F64" s="14">
        <f t="shared" si="16"/>
        <v>0</v>
      </c>
      <c r="G64" s="14">
        <f t="shared" si="16"/>
        <v>0</v>
      </c>
    </row>
    <row r="65" spans="2:7">
      <c r="B65" s="4" t="str">
        <f t="shared" si="10"/>
        <v>Postion 8</v>
      </c>
      <c r="C65" s="14">
        <f t="shared" si="10"/>
        <v>0</v>
      </c>
      <c r="D65" s="14">
        <f t="shared" ref="D65:G65" si="17">C65*(1+$C$53)</f>
        <v>0</v>
      </c>
      <c r="E65" s="14">
        <f t="shared" si="17"/>
        <v>0</v>
      </c>
      <c r="F65" s="14">
        <f t="shared" si="17"/>
        <v>0</v>
      </c>
      <c r="G65" s="14">
        <f t="shared" si="17"/>
        <v>0</v>
      </c>
    </row>
    <row r="66" spans="2:7">
      <c r="B66" s="4" t="str">
        <f t="shared" si="10"/>
        <v>Postion 9</v>
      </c>
      <c r="C66" s="14">
        <f t="shared" si="10"/>
        <v>0</v>
      </c>
      <c r="D66" s="14">
        <f t="shared" ref="D66:G66" si="18">C66*(1+$C$53)</f>
        <v>0</v>
      </c>
      <c r="E66" s="14">
        <f t="shared" si="18"/>
        <v>0</v>
      </c>
      <c r="F66" s="14">
        <f t="shared" si="18"/>
        <v>0</v>
      </c>
      <c r="G66" s="14">
        <f t="shared" si="18"/>
        <v>0</v>
      </c>
    </row>
    <row r="67" spans="2:7">
      <c r="B67" s="4" t="str">
        <f t="shared" si="10"/>
        <v>Position 10</v>
      </c>
      <c r="C67" s="14">
        <f t="shared" si="10"/>
        <v>0</v>
      </c>
      <c r="D67" s="14">
        <f t="shared" ref="D67:G67" si="19">C67*(1+$C$53)</f>
        <v>0</v>
      </c>
      <c r="E67" s="14">
        <f t="shared" si="19"/>
        <v>0</v>
      </c>
      <c r="F67" s="14">
        <f t="shared" si="19"/>
        <v>0</v>
      </c>
      <c r="G67" s="14">
        <f t="shared" si="19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K25" sqref="K25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7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0.5</v>
      </c>
      <c r="H5" s="109">
        <f>Inputs!C47</f>
        <v>0.33</v>
      </c>
      <c r="I5" s="126"/>
      <c r="J5" s="108"/>
      <c r="K5" s="109"/>
      <c r="L5" s="109"/>
      <c r="M5" s="109"/>
    </row>
    <row r="6" spans="5:13">
      <c r="E6" s="94" t="str">
        <f>Inputs!B5</f>
        <v>Dump Truck Services</v>
      </c>
      <c r="F6" s="94">
        <f>SUM(Inputs!C32:N32)</f>
        <v>601320</v>
      </c>
      <c r="G6" s="94">
        <f t="shared" ref="G6:H15" si="0">F6*(1+G$5)</f>
        <v>901980</v>
      </c>
      <c r="H6" s="94">
        <f t="shared" si="0"/>
        <v>1199633.4000000001</v>
      </c>
      <c r="I6" s="128"/>
      <c r="J6" s="94" t="str">
        <f>E6</f>
        <v>Dump Truck Services</v>
      </c>
      <c r="K6" s="144">
        <f>F6/$F$16</f>
        <v>0.95238095238095233</v>
      </c>
      <c r="L6" s="144">
        <f>G6/$G$16</f>
        <v>0.95238095238095233</v>
      </c>
      <c r="M6" s="144">
        <f>H6/$H$16</f>
        <v>0.95238095238095244</v>
      </c>
    </row>
    <row r="7" spans="5:13">
      <c r="E7" s="94" t="str">
        <f>Inputs!B6</f>
        <v>Other Income</v>
      </c>
      <c r="F7" s="94">
        <f>SUM(Inputs!C33:N33)</f>
        <v>30066</v>
      </c>
      <c r="G7" s="94">
        <f t="shared" si="0"/>
        <v>45099</v>
      </c>
      <c r="H7" s="94">
        <f t="shared" si="0"/>
        <v>59981.670000000006</v>
      </c>
      <c r="I7" s="128"/>
      <c r="J7" s="94" t="str">
        <f t="shared" ref="J7:J15" si="1">E7</f>
        <v>Other Income</v>
      </c>
      <c r="K7" s="144">
        <f t="shared" ref="K7:K15" si="2">F7/$F$16</f>
        <v>4.7619047619047616E-2</v>
      </c>
      <c r="L7" s="144">
        <f t="shared" ref="L7:L15" si="3">G7/$G$16</f>
        <v>4.7619047619047616E-2</v>
      </c>
      <c r="M7" s="144">
        <f t="shared" ref="M7:M15" si="4">H7/$H$16</f>
        <v>4.7619047619047623E-2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8"/>
      <c r="J8" s="94" t="str">
        <f t="shared" si="1"/>
        <v>Item 3</v>
      </c>
      <c r="K8" s="144">
        <f t="shared" si="2"/>
        <v>0</v>
      </c>
      <c r="L8" s="144">
        <f t="shared" si="3"/>
        <v>0</v>
      </c>
      <c r="M8" s="144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8"/>
      <c r="J9" s="94" t="str">
        <f t="shared" si="1"/>
        <v>Item 4</v>
      </c>
      <c r="K9" s="144">
        <f t="shared" si="2"/>
        <v>0</v>
      </c>
      <c r="L9" s="144">
        <f t="shared" si="3"/>
        <v>0</v>
      </c>
      <c r="M9" s="144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8"/>
      <c r="J10" s="94" t="str">
        <f t="shared" si="1"/>
        <v>Item 5</v>
      </c>
      <c r="K10" s="144">
        <f t="shared" si="2"/>
        <v>0</v>
      </c>
      <c r="L10" s="144">
        <f t="shared" si="3"/>
        <v>0</v>
      </c>
      <c r="M10" s="144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8"/>
      <c r="J11" s="94" t="str">
        <f t="shared" si="1"/>
        <v>Item 6</v>
      </c>
      <c r="K11" s="144">
        <f t="shared" si="2"/>
        <v>0</v>
      </c>
      <c r="L11" s="144">
        <f t="shared" si="3"/>
        <v>0</v>
      </c>
      <c r="M11" s="144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8"/>
      <c r="J12" s="94" t="str">
        <f t="shared" si="1"/>
        <v>Item 7</v>
      </c>
      <c r="K12" s="144">
        <f t="shared" si="2"/>
        <v>0</v>
      </c>
      <c r="L12" s="144">
        <f t="shared" si="3"/>
        <v>0</v>
      </c>
      <c r="M12" s="144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8"/>
      <c r="J13" s="94" t="str">
        <f t="shared" si="1"/>
        <v>Item 8</v>
      </c>
      <c r="K13" s="144">
        <f t="shared" si="2"/>
        <v>0</v>
      </c>
      <c r="L13" s="144">
        <f t="shared" si="3"/>
        <v>0</v>
      </c>
      <c r="M13" s="144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8"/>
      <c r="J14" s="94" t="str">
        <f t="shared" si="1"/>
        <v>Item 9</v>
      </c>
      <c r="K14" s="144">
        <f t="shared" si="2"/>
        <v>0</v>
      </c>
      <c r="L14" s="144">
        <f t="shared" si="3"/>
        <v>0</v>
      </c>
      <c r="M14" s="144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8"/>
      <c r="J15" s="94" t="str">
        <f t="shared" si="1"/>
        <v>Item 10</v>
      </c>
      <c r="K15" s="144">
        <f t="shared" si="2"/>
        <v>0</v>
      </c>
      <c r="L15" s="144">
        <f t="shared" si="3"/>
        <v>0</v>
      </c>
      <c r="M15" s="144">
        <f t="shared" si="4"/>
        <v>0</v>
      </c>
    </row>
    <row r="16" spans="5:13">
      <c r="E16" s="99" t="s">
        <v>8</v>
      </c>
      <c r="F16" s="99">
        <f>SUM(F6:F15)</f>
        <v>631386</v>
      </c>
      <c r="G16" s="99">
        <f>SUM(G6:G15)</f>
        <v>947079</v>
      </c>
      <c r="H16" s="99">
        <f>SUM(H6:H15)</f>
        <v>1259615.07</v>
      </c>
      <c r="I16" s="132"/>
      <c r="J16" s="143"/>
      <c r="K16" s="143"/>
      <c r="L16" s="143"/>
      <c r="M16" s="143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2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7"/>
      <c r="J19" s="63"/>
      <c r="K19" s="127"/>
      <c r="L19" s="127"/>
      <c r="M19" s="127"/>
    </row>
    <row r="20" spans="5:13">
      <c r="E20" s="108" t="s">
        <v>55</v>
      </c>
      <c r="F20" s="109">
        <v>0</v>
      </c>
      <c r="G20" s="109">
        <f>G5</f>
        <v>0.5</v>
      </c>
      <c r="H20" s="109">
        <f>H5</f>
        <v>0.33</v>
      </c>
      <c r="I20" s="126"/>
      <c r="K20" s="126"/>
      <c r="L20" s="126"/>
      <c r="M20" s="126"/>
    </row>
    <row r="21" spans="5:13">
      <c r="E21" s="94" t="str">
        <f>E6</f>
        <v>Dump Truck Services</v>
      </c>
      <c r="F21" s="94">
        <f>SUM(Inputs!C51:N51)</f>
        <v>120264</v>
      </c>
      <c r="G21" s="94">
        <f t="shared" ref="G21:H30" si="5">F21*(1+G$20)</f>
        <v>180396</v>
      </c>
      <c r="H21" s="94">
        <f t="shared" si="5"/>
        <v>239926.68000000002</v>
      </c>
      <c r="I21" s="128"/>
      <c r="J21" s="128"/>
      <c r="K21" s="128"/>
      <c r="L21" s="128"/>
      <c r="M21" s="128"/>
    </row>
    <row r="22" spans="5:13">
      <c r="E22" s="94" t="str">
        <f t="shared" ref="E22:E30" si="6">E7</f>
        <v>Other Income</v>
      </c>
      <c r="F22" s="94">
        <f>SUM(Inputs!C52:N52)</f>
        <v>15033</v>
      </c>
      <c r="G22" s="94">
        <f t="shared" si="5"/>
        <v>22549.5</v>
      </c>
      <c r="H22" s="94">
        <f t="shared" si="5"/>
        <v>29990.835000000003</v>
      </c>
      <c r="I22" s="128"/>
      <c r="J22" s="128"/>
      <c r="K22" s="128"/>
      <c r="L22" s="128"/>
      <c r="M22" s="128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8"/>
      <c r="J23" s="128"/>
      <c r="K23" s="128"/>
      <c r="L23" s="128"/>
      <c r="M23" s="128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8"/>
      <c r="J24" s="128"/>
      <c r="K24" s="128"/>
      <c r="L24" s="128"/>
      <c r="M24" s="128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8"/>
      <c r="J25" s="128"/>
      <c r="K25" s="128"/>
      <c r="L25" s="128"/>
      <c r="M25" s="128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8"/>
      <c r="J26" s="128"/>
      <c r="K26" s="128"/>
      <c r="L26" s="128"/>
      <c r="M26" s="128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8"/>
      <c r="J27" s="128"/>
      <c r="K27" s="128"/>
      <c r="L27" s="128"/>
      <c r="M27" s="128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8"/>
      <c r="J28" s="128"/>
      <c r="K28" s="128"/>
      <c r="L28" s="128"/>
      <c r="M28" s="128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8"/>
      <c r="J29" s="128"/>
      <c r="K29" s="128"/>
      <c r="L29" s="128"/>
      <c r="M29" s="128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8"/>
      <c r="J30" s="128"/>
      <c r="K30" s="128"/>
      <c r="L30" s="128"/>
      <c r="M30" s="128"/>
    </row>
    <row r="31" spans="5:13">
      <c r="E31" s="100" t="s">
        <v>8</v>
      </c>
      <c r="F31" s="100">
        <f>SUM(F21:F30)</f>
        <v>135297</v>
      </c>
      <c r="G31" s="100">
        <f>SUM(G21:G30)</f>
        <v>202945.5</v>
      </c>
      <c r="H31" s="100">
        <f>SUM(H21:H30)</f>
        <v>269917.51500000001</v>
      </c>
      <c r="I31" s="128"/>
      <c r="J31" s="128"/>
      <c r="K31" s="128"/>
      <c r="L31" s="128"/>
      <c r="M31" s="128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E26" sqref="E26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123</v>
      </c>
      <c r="E6" s="6">
        <v>30000</v>
      </c>
    </row>
    <row r="7" spans="4:5">
      <c r="D7" s="21" t="s">
        <v>129</v>
      </c>
      <c r="E7" s="6">
        <f>85000*2</f>
        <v>170000</v>
      </c>
    </row>
    <row r="8" spans="4:5">
      <c r="D8" s="21" t="s">
        <v>130</v>
      </c>
      <c r="E8" s="6">
        <v>2500</v>
      </c>
    </row>
    <row r="9" spans="4:5">
      <c r="D9" s="21" t="s">
        <v>131</v>
      </c>
      <c r="E9" s="6">
        <v>3500</v>
      </c>
    </row>
    <row r="10" spans="4:5">
      <c r="D10" s="21" t="s">
        <v>132</v>
      </c>
      <c r="E10" s="6">
        <v>15000</v>
      </c>
    </row>
    <row r="11" spans="4:5">
      <c r="D11" s="21" t="s">
        <v>0</v>
      </c>
      <c r="E11" s="6">
        <v>24000</v>
      </c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245000</v>
      </c>
    </row>
    <row r="20" spans="4:5">
      <c r="D20" s="7" t="s">
        <v>97</v>
      </c>
      <c r="E20" s="3"/>
    </row>
    <row r="21" spans="4:5">
      <c r="D21" s="4" t="s">
        <v>98</v>
      </c>
      <c r="E21" s="14">
        <v>45000</v>
      </c>
    </row>
    <row r="22" spans="4:5">
      <c r="D22" s="4" t="s">
        <v>99</v>
      </c>
      <c r="E22" s="14">
        <v>200000</v>
      </c>
    </row>
    <row r="23" spans="4:5">
      <c r="D23" s="4" t="s">
        <v>100</v>
      </c>
      <c r="E23" s="14">
        <f>SUM(E21:E22)</f>
        <v>245000</v>
      </c>
    </row>
    <row r="27" spans="4:5">
      <c r="D27" s="112"/>
    </row>
    <row r="28" spans="4:5">
      <c r="D28" s="121"/>
      <c r="E28" s="1"/>
    </row>
    <row r="29" spans="4:5">
      <c r="D29" s="121"/>
      <c r="E29" s="1"/>
    </row>
    <row r="30" spans="4:5">
      <c r="D30" s="121"/>
      <c r="E30" s="1"/>
    </row>
    <row r="31" spans="4:5">
      <c r="D31" s="121"/>
      <c r="E31" s="1"/>
    </row>
    <row r="32" spans="4:5">
      <c r="D32" s="121"/>
      <c r="E32" s="1"/>
    </row>
    <row r="33" spans="4:5">
      <c r="D33" s="121"/>
      <c r="E33" s="1"/>
    </row>
    <row r="34" spans="4:5">
      <c r="D34" s="121"/>
      <c r="E34" s="1"/>
    </row>
    <row r="35" spans="4:5">
      <c r="D35" s="121"/>
      <c r="E35" s="1"/>
    </row>
    <row r="36" spans="4:5">
      <c r="D36" s="121"/>
      <c r="E36" s="1"/>
    </row>
    <row r="37" spans="4:5">
      <c r="D37" s="121"/>
      <c r="E37" s="1"/>
    </row>
    <row r="38" spans="4:5">
      <c r="D38" s="122"/>
      <c r="E38" s="123"/>
    </row>
    <row r="40" spans="4:5">
      <c r="D40" s="112"/>
    </row>
    <row r="41" spans="4:5">
      <c r="D41" s="121"/>
      <c r="E41" s="1"/>
    </row>
    <row r="42" spans="4:5">
      <c r="D42" s="121"/>
      <c r="E42" s="1"/>
    </row>
    <row r="43" spans="4:5">
      <c r="D43" s="121"/>
      <c r="E43" s="1"/>
    </row>
    <row r="44" spans="4:5">
      <c r="D44" s="121"/>
      <c r="E44" s="1"/>
    </row>
    <row r="45" spans="4:5">
      <c r="D45" s="121"/>
      <c r="E45" s="1"/>
    </row>
    <row r="46" spans="4:5">
      <c r="D46" s="121"/>
      <c r="E46" s="1"/>
    </row>
    <row r="47" spans="4:5">
      <c r="D47" s="121"/>
      <c r="E47" s="1"/>
    </row>
    <row r="48" spans="4:5">
      <c r="D48" s="121"/>
      <c r="E48" s="1"/>
    </row>
    <row r="49" spans="4:5">
      <c r="D49" s="121"/>
      <c r="E49" s="1"/>
    </row>
    <row r="50" spans="4:5">
      <c r="D50" s="121"/>
      <c r="E50" s="1"/>
    </row>
    <row r="51" spans="4:5">
      <c r="D51" s="122"/>
      <c r="E51" s="12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workbookViewId="0">
      <selection activeCell="T6" sqref="T6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5"/>
      <c r="I5" s="13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631386</v>
      </c>
      <c r="F6" s="69">
        <f>'Revenue Overview'!G16</f>
        <v>947079</v>
      </c>
      <c r="G6" s="81">
        <f>'Revenue Overview'!H16</f>
        <v>1259615.07</v>
      </c>
      <c r="H6" s="136"/>
      <c r="I6" s="136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135297</v>
      </c>
      <c r="F7" s="71">
        <f>'Revenue Overview'!G31</f>
        <v>202945.5</v>
      </c>
      <c r="G7" s="80">
        <f>'Revenue Overview'!H31</f>
        <v>269917.51500000001</v>
      </c>
      <c r="H7" s="137"/>
      <c r="I7" s="137"/>
      <c r="J7" s="115"/>
      <c r="K7" s="112" t="s">
        <v>51</v>
      </c>
      <c r="L7" s="114">
        <f>E6</f>
        <v>631386</v>
      </c>
      <c r="M7" s="114">
        <f>F6</f>
        <v>947079</v>
      </c>
      <c r="N7" s="114">
        <f>G6</f>
        <v>1259615.07</v>
      </c>
      <c r="O7" s="114"/>
      <c r="P7" s="138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0.7857142857142857</v>
      </c>
      <c r="F8" s="73">
        <f t="shared" ref="F8:G8" si="0">1-(F7/F6)</f>
        <v>0.7857142857142857</v>
      </c>
      <c r="G8" s="134">
        <f t="shared" si="0"/>
        <v>0.7857142857142857</v>
      </c>
      <c r="H8" s="139"/>
      <c r="I8" s="139"/>
      <c r="J8" s="115"/>
      <c r="K8" s="112" t="s">
        <v>76</v>
      </c>
      <c r="L8" s="114">
        <f>E6</f>
        <v>631386</v>
      </c>
      <c r="M8" s="114">
        <f>F6</f>
        <v>947079</v>
      </c>
      <c r="N8" s="114">
        <f>G6</f>
        <v>1259615.07</v>
      </c>
      <c r="O8" s="114"/>
      <c r="P8" s="138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40"/>
      <c r="I9" s="140"/>
      <c r="J9" s="115"/>
      <c r="K9" s="112"/>
      <c r="L9" s="114"/>
      <c r="M9" s="114"/>
      <c r="N9" s="114"/>
      <c r="O9" s="114"/>
      <c r="P9" s="138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496089</v>
      </c>
      <c r="F10" s="76">
        <f t="shared" ref="F10:G10" si="1">F6-F7</f>
        <v>744133.5</v>
      </c>
      <c r="G10" s="84">
        <f t="shared" si="1"/>
        <v>989697.55500000005</v>
      </c>
      <c r="H10" s="136"/>
      <c r="I10" s="136"/>
      <c r="J10" s="115"/>
      <c r="K10" s="112" t="s">
        <v>47</v>
      </c>
      <c r="L10" s="114">
        <f>E23</f>
        <v>144310.79060000001</v>
      </c>
      <c r="M10" s="114">
        <f>F23</f>
        <v>310313.43840000004</v>
      </c>
      <c r="N10" s="114">
        <f>G23</f>
        <v>469585.98032200005</v>
      </c>
      <c r="O10" s="114"/>
      <c r="P10" s="138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40"/>
      <c r="I11" s="140"/>
      <c r="J11" s="115"/>
      <c r="K11" s="112" t="s">
        <v>77</v>
      </c>
      <c r="L11" s="114">
        <f>L10</f>
        <v>144310.79060000001</v>
      </c>
      <c r="M11" s="114">
        <f t="shared" ref="M11:N11" si="2">M10</f>
        <v>310313.43840000004</v>
      </c>
      <c r="N11" s="114">
        <f t="shared" si="2"/>
        <v>469585.98032200005</v>
      </c>
      <c r="O11" s="114"/>
      <c r="P11" s="138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40"/>
      <c r="I12" s="140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277500</v>
      </c>
      <c r="F13" s="78">
        <f>'Personnel - Editable'!I16</f>
        <v>337325</v>
      </c>
      <c r="G13" s="78">
        <f>'Personnel - Editable'!J16</f>
        <v>400489.75</v>
      </c>
      <c r="H13" s="137"/>
      <c r="I13" s="137"/>
      <c r="J13" s="115"/>
      <c r="K13" s="112" t="s">
        <v>75</v>
      </c>
      <c r="L13" s="114">
        <f>E21</f>
        <v>351778.20939999999</v>
      </c>
      <c r="M13" s="114">
        <f>F21</f>
        <v>433820.06159999996</v>
      </c>
      <c r="N13" s="114">
        <f>G21</f>
        <v>520111.574678</v>
      </c>
      <c r="O13" s="114"/>
      <c r="P13" s="138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12097</v>
      </c>
      <c r="F14" s="80">
        <f>Inputs!D18</f>
        <v>12459.91</v>
      </c>
      <c r="G14" s="80">
        <f>Inputs!E18</f>
        <v>12833.7073</v>
      </c>
      <c r="H14" s="137"/>
      <c r="I14" s="137"/>
      <c r="J14" s="115"/>
      <c r="K14" s="112" t="s">
        <v>78</v>
      </c>
      <c r="L14" s="114">
        <f>E21</f>
        <v>351778.20939999999</v>
      </c>
      <c r="M14" s="114">
        <f>F21</f>
        <v>433820.06159999996</v>
      </c>
      <c r="N14" s="114">
        <f>G21</f>
        <v>520111.574678</v>
      </c>
      <c r="O14" s="114"/>
      <c r="P14" s="138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9912.7601999999988</v>
      </c>
      <c r="F15" s="78">
        <f>Inputs!D19</f>
        <v>14869.140299999999</v>
      </c>
      <c r="G15" s="78">
        <f>Inputs!E19</f>
        <v>19775.956599000001</v>
      </c>
      <c r="H15" s="137"/>
      <c r="I15" s="137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9597.0671999999995</v>
      </c>
      <c r="F16" s="80">
        <f>Inputs!D20</f>
        <v>14395.6008</v>
      </c>
      <c r="G16" s="80">
        <f>Inputs!E20</f>
        <v>19146.149064000001</v>
      </c>
      <c r="H16" s="137"/>
      <c r="I16" s="137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8325</v>
      </c>
      <c r="F17" s="78">
        <f>Inputs!D21</f>
        <v>10119.75</v>
      </c>
      <c r="G17" s="78">
        <f>Inputs!E21</f>
        <v>12014.692499999999</v>
      </c>
      <c r="H17" s="137"/>
      <c r="I17" s="137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7576.6320000000005</v>
      </c>
      <c r="F18" s="80">
        <f>Inputs!D22</f>
        <v>11364.948</v>
      </c>
      <c r="G18" s="80">
        <f>Inputs!E22</f>
        <v>15115.380840000002</v>
      </c>
      <c r="H18" s="137"/>
      <c r="I18" s="137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5541</v>
      </c>
      <c r="F19" s="78">
        <f>Inputs!D23</f>
        <v>7480.35</v>
      </c>
      <c r="G19" s="78">
        <f>Inputs!E23</f>
        <v>10098.472500000002</v>
      </c>
      <c r="H19" s="137"/>
      <c r="I19" s="137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21228.75</v>
      </c>
      <c r="F20" s="80">
        <f>F13*'Tax Assumptions '!G9</f>
        <v>25805.362499999999</v>
      </c>
      <c r="G20" s="80">
        <f>G13*'Tax Assumptions '!H9</f>
        <v>30637.465874999998</v>
      </c>
      <c r="H20" s="137"/>
      <c r="I20" s="137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351778.20939999999</v>
      </c>
      <c r="F21" s="81">
        <f t="shared" ref="F21:G21" si="3">SUM(F13:F20)</f>
        <v>433820.06159999996</v>
      </c>
      <c r="G21" s="81">
        <f t="shared" si="3"/>
        <v>520111.574678</v>
      </c>
      <c r="H21" s="136"/>
      <c r="I21" s="136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40"/>
      <c r="I22" s="140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144310.79060000001</v>
      </c>
      <c r="F23" s="83">
        <f t="shared" ref="F23:G23" si="4">F10-F21</f>
        <v>310313.43840000004</v>
      </c>
      <c r="G23" s="83">
        <f t="shared" si="4"/>
        <v>469585.98032200005</v>
      </c>
      <c r="H23" s="136"/>
      <c r="I23" s="136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28566.106011906966</v>
      </c>
      <c r="F24" s="78">
        <f>(F23-F26-F27)*'Tax Assumptions '!G7</f>
        <v>68450.560459610715</v>
      </c>
      <c r="G24" s="78">
        <f>(G23-G26-G27)*'Tax Assumptions '!H7</f>
        <v>106546.19656839845</v>
      </c>
      <c r="H24" s="137"/>
      <c r="I24" s="137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5713.2212023813936</v>
      </c>
      <c r="F25" s="80">
        <f>(F23-F26-F27)*'Tax Assumptions '!G8</f>
        <v>13690.112091922143</v>
      </c>
      <c r="G25" s="80">
        <f>(G23-G26-G27)*'Tax Assumptions '!H8</f>
        <v>21309.239313679689</v>
      </c>
      <c r="H25" s="137"/>
      <c r="I25" s="137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13546.366552372139</v>
      </c>
      <c r="F26" s="78">
        <f>SUM('Loan Amortization Table'!D26:D37)</f>
        <v>12511.196561557193</v>
      </c>
      <c r="G26" s="78">
        <f>SUM('Loan Amortization Table'!D38:D49)</f>
        <v>11401.194048406289</v>
      </c>
      <c r="H26" s="128"/>
      <c r="I26" s="128"/>
    </row>
    <row r="27" spans="4:21">
      <c r="D27" s="70" t="s">
        <v>54</v>
      </c>
      <c r="E27" s="80">
        <v>16500</v>
      </c>
      <c r="F27" s="80">
        <v>24000</v>
      </c>
      <c r="G27" s="80">
        <v>32000</v>
      </c>
      <c r="H27" s="128"/>
      <c r="I27" s="128"/>
    </row>
    <row r="28" spans="4:21">
      <c r="D28" s="82" t="s">
        <v>17</v>
      </c>
      <c r="E28" s="83">
        <f>E23-SUM(E24:E27)</f>
        <v>79985.096833339514</v>
      </c>
      <c r="F28" s="83">
        <f t="shared" ref="F28:G28" si="5">F23-SUM(F24:F27)</f>
        <v>191661.56928691</v>
      </c>
      <c r="G28" s="83">
        <f t="shared" si="5"/>
        <v>298329.35039151565</v>
      </c>
      <c r="H28" s="132"/>
      <c r="I28" s="132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7"/>
      <c r="I31" s="127"/>
      <c r="K31" s="1"/>
      <c r="L31" s="1"/>
      <c r="M31" s="1"/>
    </row>
    <row r="32" spans="4:21">
      <c r="D32" s="68" t="s">
        <v>51</v>
      </c>
      <c r="E32" s="69">
        <f>E6</f>
        <v>631386</v>
      </c>
      <c r="F32" s="69">
        <f t="shared" ref="F32:G32" si="6">F6</f>
        <v>947079</v>
      </c>
      <c r="G32" s="81">
        <f t="shared" si="6"/>
        <v>1259615.07</v>
      </c>
      <c r="H32" s="132"/>
      <c r="I32" s="132"/>
    </row>
    <row r="33" spans="4:13">
      <c r="D33" s="70" t="s">
        <v>52</v>
      </c>
      <c r="E33" s="71">
        <f>E7</f>
        <v>135297</v>
      </c>
      <c r="F33" s="71">
        <f t="shared" ref="F33:G33" si="7">F7</f>
        <v>202945.5</v>
      </c>
      <c r="G33" s="80">
        <f t="shared" si="7"/>
        <v>269917.51500000001</v>
      </c>
      <c r="H33" s="128"/>
      <c r="I33" s="128"/>
    </row>
    <row r="34" spans="4:13">
      <c r="D34" s="68" t="s">
        <v>10</v>
      </c>
      <c r="E34" s="69">
        <f>E10</f>
        <v>496089</v>
      </c>
      <c r="F34" s="69">
        <f t="shared" ref="F34:G34" si="8">F10</f>
        <v>744133.5</v>
      </c>
      <c r="G34" s="81">
        <f t="shared" si="8"/>
        <v>989697.55500000005</v>
      </c>
      <c r="H34" s="132"/>
      <c r="I34" s="132"/>
      <c r="K34" s="1"/>
      <c r="L34" s="1"/>
      <c r="M34" s="1"/>
    </row>
    <row r="35" spans="4:13">
      <c r="D35" s="75" t="s">
        <v>13</v>
      </c>
      <c r="E35" s="84">
        <f>E21</f>
        <v>351778.20939999999</v>
      </c>
      <c r="F35" s="84">
        <f t="shared" ref="F35:G35" si="9">F21</f>
        <v>433820.06159999996</v>
      </c>
      <c r="G35" s="84">
        <f t="shared" si="9"/>
        <v>520111.574678</v>
      </c>
      <c r="H35" s="132"/>
      <c r="I35" s="132"/>
    </row>
    <row r="36" spans="4:13">
      <c r="D36" s="82" t="s">
        <v>47</v>
      </c>
      <c r="E36" s="83">
        <f>E23</f>
        <v>144310.79060000001</v>
      </c>
      <c r="F36" s="83">
        <f t="shared" ref="F36:G36" si="10">F23</f>
        <v>310313.43840000004</v>
      </c>
      <c r="G36" s="83">
        <f t="shared" si="10"/>
        <v>469585.98032200005</v>
      </c>
      <c r="H36" s="132"/>
      <c r="I36" s="132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U9" sqref="U9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7"/>
      <c r="I5" s="127"/>
    </row>
    <row r="6" spans="4:9">
      <c r="D6" s="68" t="s">
        <v>67</v>
      </c>
      <c r="E6" s="81">
        <f>'Profit and Loss Statement'!E28+'Profit and Loss Statement'!E27</f>
        <v>96485.096833339514</v>
      </c>
      <c r="F6" s="81">
        <f>'Profit and Loss Statement'!F28+'Profit and Loss Statement'!F27</f>
        <v>215661.56928691</v>
      </c>
      <c r="G6" s="81">
        <f>'Profit and Loss Statement'!G28+'Profit and Loss Statement'!G27</f>
        <v>330329.35039151565</v>
      </c>
      <c r="H6" s="132"/>
      <c r="I6" s="132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45000</v>
      </c>
      <c r="F9" s="87">
        <v>0</v>
      </c>
      <c r="G9" s="87">
        <v>0</v>
      </c>
      <c r="H9" s="131"/>
      <c r="I9" s="131"/>
    </row>
    <row r="10" spans="4:9">
      <c r="D10" s="70" t="s">
        <v>21</v>
      </c>
      <c r="E10" s="88">
        <f>'Use of Funds'!E22</f>
        <v>200000</v>
      </c>
      <c r="F10" s="88">
        <v>0</v>
      </c>
      <c r="G10" s="88">
        <v>0</v>
      </c>
      <c r="H10" s="131"/>
      <c r="I10" s="131"/>
    </row>
    <row r="11" spans="4:9">
      <c r="D11" s="72" t="s">
        <v>22</v>
      </c>
      <c r="E11" s="78">
        <v>9501</v>
      </c>
      <c r="F11" s="78">
        <f>E11*1.02</f>
        <v>9691.02</v>
      </c>
      <c r="G11" s="78">
        <f>F11*1.02</f>
        <v>9884.840400000001</v>
      </c>
      <c r="H11" s="128"/>
      <c r="I11" s="128"/>
    </row>
    <row r="12" spans="4:9">
      <c r="D12" s="75" t="s">
        <v>23</v>
      </c>
      <c r="E12" s="89">
        <f>SUM(E9:E11)</f>
        <v>254501</v>
      </c>
      <c r="F12" s="89">
        <f t="shared" ref="F12:G12" si="0">SUM(F9:F11)</f>
        <v>9691.02</v>
      </c>
      <c r="G12" s="89">
        <f t="shared" si="0"/>
        <v>9884.840400000001</v>
      </c>
      <c r="H12" s="133"/>
      <c r="I12" s="133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350986.09683333954</v>
      </c>
      <c r="F15" s="90">
        <f t="shared" ref="F15:G15" si="1">F12+F6</f>
        <v>225352.58928690999</v>
      </c>
      <c r="G15" s="90">
        <f t="shared" si="1"/>
        <v>340214.19079151563</v>
      </c>
      <c r="H15" s="133"/>
      <c r="I15" s="133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14319.668460097642</v>
      </c>
      <c r="F18" s="80">
        <f>SUM('Loan Amortization Table'!C26:C37)</f>
        <v>15354.838450912586</v>
      </c>
      <c r="G18" s="80">
        <f>SUM('Loan Amortization Table'!C38:C49)</f>
        <v>16464.840964063489</v>
      </c>
      <c r="H18" s="128"/>
      <c r="I18" s="128"/>
    </row>
    <row r="19" spans="4:9">
      <c r="D19" s="72" t="s">
        <v>25</v>
      </c>
      <c r="E19" s="78">
        <f>E11*0.7</f>
        <v>6650.7</v>
      </c>
      <c r="F19" s="78">
        <f t="shared" ref="F19:G19" si="2">F11*0.7</f>
        <v>6783.7139999999999</v>
      </c>
      <c r="G19" s="78">
        <f t="shared" si="2"/>
        <v>6919.3882800000001</v>
      </c>
      <c r="H19" s="128"/>
      <c r="I19" s="128"/>
    </row>
    <row r="20" spans="4:9">
      <c r="D20" s="70" t="s">
        <v>33</v>
      </c>
      <c r="E20" s="80">
        <f>'Use of Funds'!$E$6+'Use of Funds'!$E$7+'Use of Funds'!$E$8+'Use of Funds'!$E$9+'Use of Funds'!$E$10</f>
        <v>221000</v>
      </c>
      <c r="F20" s="80">
        <v>85000</v>
      </c>
      <c r="G20" s="80">
        <v>85000</v>
      </c>
      <c r="H20" s="128"/>
      <c r="I20" s="128"/>
    </row>
    <row r="21" spans="4:9">
      <c r="D21" s="72" t="s">
        <v>32</v>
      </c>
      <c r="E21" s="78">
        <v>0</v>
      </c>
      <c r="F21" s="78">
        <v>10000</v>
      </c>
      <c r="G21" s="78">
        <v>25000</v>
      </c>
      <c r="H21" s="128"/>
      <c r="I21" s="128"/>
    </row>
    <row r="22" spans="4:9">
      <c r="D22" s="75" t="s">
        <v>26</v>
      </c>
      <c r="E22" s="84">
        <f>SUM(E18:E21)</f>
        <v>241970.36846009764</v>
      </c>
      <c r="F22" s="84">
        <f t="shared" ref="F22:G22" si="3">SUM(F18:F21)</f>
        <v>117138.55245091258</v>
      </c>
      <c r="G22" s="84">
        <f t="shared" si="3"/>
        <v>133384.22924406349</v>
      </c>
      <c r="H22" s="132"/>
      <c r="I22" s="132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109015.7283732419</v>
      </c>
      <c r="F24" s="91">
        <f t="shared" ref="F24:G24" si="4">F15-F22</f>
        <v>108214.03683599741</v>
      </c>
      <c r="G24" s="91">
        <f t="shared" si="4"/>
        <v>206829.96154745214</v>
      </c>
      <c r="H24" s="133"/>
      <c r="I24" s="133"/>
    </row>
    <row r="25" spans="4:9">
      <c r="D25" s="82" t="s">
        <v>6</v>
      </c>
      <c r="E25" s="91">
        <f>E24</f>
        <v>109015.7283732419</v>
      </c>
      <c r="F25" s="91">
        <f>E25+F24</f>
        <v>217229.76520923933</v>
      </c>
      <c r="G25" s="91">
        <f>F25+G24</f>
        <v>424059.72675669147</v>
      </c>
      <c r="H25" s="133"/>
      <c r="I25" s="133"/>
    </row>
    <row r="28" spans="4:9">
      <c r="D28" s="112" t="s">
        <v>79</v>
      </c>
      <c r="E28" s="114">
        <f>E6</f>
        <v>96485.096833339514</v>
      </c>
      <c r="F28" s="114">
        <f t="shared" ref="F28:G28" si="5">F6</f>
        <v>215661.56928691</v>
      </c>
      <c r="G28" s="114">
        <f t="shared" si="5"/>
        <v>330329.35039151565</v>
      </c>
      <c r="H28" s="1"/>
      <c r="I28" s="1"/>
    </row>
    <row r="29" spans="4:9">
      <c r="D29" s="112" t="s">
        <v>80</v>
      </c>
      <c r="E29" s="114">
        <f>E18</f>
        <v>14319.668460097642</v>
      </c>
      <c r="F29" s="114">
        <f t="shared" ref="F29:G29" si="6">F18</f>
        <v>15354.838450912586</v>
      </c>
      <c r="G29" s="114">
        <f t="shared" si="6"/>
        <v>16464.840964063489</v>
      </c>
      <c r="H29" s="1"/>
      <c r="I29" s="1"/>
    </row>
    <row r="30" spans="4:9">
      <c r="D30" s="112" t="s">
        <v>81</v>
      </c>
      <c r="E30" s="114">
        <f>E21</f>
        <v>0</v>
      </c>
      <c r="F30" s="114">
        <f t="shared" ref="F30:G30" si="7">F21</f>
        <v>10000</v>
      </c>
      <c r="G30" s="114">
        <f t="shared" si="7"/>
        <v>25000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S11" sqref="S11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7"/>
      <c r="I5" s="127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109015.7283732419</v>
      </c>
      <c r="F7" s="78">
        <f>'Cash Flow Analysis'!F25</f>
        <v>217229.76520923933</v>
      </c>
      <c r="G7" s="78">
        <f>'Cash Flow Analysis'!G25</f>
        <v>424059.72675669147</v>
      </c>
      <c r="H7" s="128"/>
      <c r="I7" s="128"/>
    </row>
    <row r="8" spans="4:9">
      <c r="D8" s="66" t="s">
        <v>121</v>
      </c>
      <c r="E8" s="94">
        <f>'Cash Flow Analysis'!E20</f>
        <v>221000</v>
      </c>
      <c r="F8" s="94">
        <f>E8+'Cash Flow Analysis'!F20</f>
        <v>306000</v>
      </c>
      <c r="G8" s="94">
        <f>F8+'Cash Flow Analysis'!G20</f>
        <v>391000</v>
      </c>
      <c r="H8" s="128"/>
      <c r="I8" s="128"/>
    </row>
    <row r="9" spans="4:9">
      <c r="D9" s="72" t="s">
        <v>48</v>
      </c>
      <c r="E9" s="87">
        <f>-'Profit and Loss Statement'!E27</f>
        <v>-16500</v>
      </c>
      <c r="F9" s="87">
        <f>E9-'Profit and Loss Statement'!F27</f>
        <v>-40500</v>
      </c>
      <c r="G9" s="87">
        <f>F9-'Profit and Loss Statement'!G27</f>
        <v>-72500</v>
      </c>
      <c r="H9" s="131"/>
      <c r="I9" s="131"/>
    </row>
    <row r="10" spans="4:9">
      <c r="D10" s="95" t="s">
        <v>7</v>
      </c>
      <c r="E10" s="96">
        <f>SUM(E7:E9)</f>
        <v>313515.7283732419</v>
      </c>
      <c r="F10" s="96">
        <f t="shared" ref="F10:G10" si="0">SUM(F7:F9)</f>
        <v>482729.76520923933</v>
      </c>
      <c r="G10" s="96">
        <f t="shared" si="0"/>
        <v>742559.72675669147</v>
      </c>
      <c r="H10" s="132"/>
      <c r="I10" s="132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2850.3</v>
      </c>
      <c r="F13" s="78">
        <f>E13+('Cash Flow Analysis'!F11-'Cash Flow Analysis'!F19)</f>
        <v>5757.6060000000007</v>
      </c>
      <c r="G13" s="78">
        <f>F13+('Cash Flow Analysis'!G11-'Cash Flow Analysis'!G19)</f>
        <v>8723.0581200000015</v>
      </c>
      <c r="H13" s="128"/>
      <c r="I13" s="128"/>
    </row>
    <row r="14" spans="4:9">
      <c r="D14" s="66" t="s">
        <v>73</v>
      </c>
      <c r="E14" s="94">
        <f>'Loan Amortization Table'!E25</f>
        <v>185680.3315399024</v>
      </c>
      <c r="F14" s="94">
        <f>'Loan Amortization Table'!E37</f>
        <v>170325.49308898984</v>
      </c>
      <c r="G14" s="94">
        <f>'Loan Amortization Table'!E49</f>
        <v>153860.65212492639</v>
      </c>
      <c r="H14" s="128"/>
      <c r="I14" s="128"/>
    </row>
    <row r="15" spans="4:9">
      <c r="D15" s="68" t="s">
        <v>30</v>
      </c>
      <c r="E15" s="81">
        <f>SUM(E13:E14)</f>
        <v>188530.63153990239</v>
      </c>
      <c r="F15" s="81">
        <f t="shared" ref="F15:G15" si="1">SUM(F13:F14)</f>
        <v>176083.09908898984</v>
      </c>
      <c r="G15" s="81">
        <f t="shared" si="1"/>
        <v>162583.71024492639</v>
      </c>
      <c r="H15" s="132"/>
      <c r="I15" s="132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124985.09683333951</v>
      </c>
      <c r="F17" s="83">
        <f t="shared" ref="F17:G17" si="2">F10-F15</f>
        <v>306646.66612024949</v>
      </c>
      <c r="G17" s="83">
        <f t="shared" si="2"/>
        <v>579976.01651176508</v>
      </c>
      <c r="H17" s="132"/>
      <c r="I17" s="132"/>
    </row>
    <row r="18" spans="4:9">
      <c r="D18" s="82" t="s">
        <v>31</v>
      </c>
      <c r="E18" s="83">
        <f>E15+E17</f>
        <v>313515.7283732419</v>
      </c>
      <c r="F18" s="83">
        <f t="shared" ref="F18:G18" si="3">F15+F17</f>
        <v>482729.76520923933</v>
      </c>
      <c r="G18" s="83">
        <f t="shared" si="3"/>
        <v>742559.72675669147</v>
      </c>
      <c r="H18" s="132"/>
      <c r="I18" s="132"/>
    </row>
    <row r="21" spans="4:9">
      <c r="D21" s="112" t="s">
        <v>82</v>
      </c>
      <c r="E21" s="114">
        <f>E10-1</f>
        <v>313514.7283732419</v>
      </c>
      <c r="F21" s="114">
        <f t="shared" ref="F21:G21" si="4">F10-1</f>
        <v>482728.76520923933</v>
      </c>
      <c r="G21" s="114">
        <f t="shared" si="4"/>
        <v>742558.72675669147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188530.63153990239</v>
      </c>
      <c r="F22" s="114">
        <f t="shared" ref="F22:G22" si="6">F15</f>
        <v>176083.09908898984</v>
      </c>
      <c r="G22" s="114">
        <f t="shared" si="6"/>
        <v>162583.71024492639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124985.09683333951</v>
      </c>
      <c r="F23" s="114">
        <f t="shared" ref="F23:G23" si="8">F17</f>
        <v>306646.66612024949</v>
      </c>
      <c r="G23" s="114">
        <f t="shared" si="8"/>
        <v>579976.01651176508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V5" sqref="V5"/>
    </sheetView>
  </sheetViews>
  <sheetFormatPr defaultRowHeight="15"/>
  <cols>
    <col min="2" max="2" width="29.7109375" customWidth="1"/>
    <col min="3" max="6" width="8.5703125" bestFit="1" customWidth="1"/>
    <col min="7" max="7" width="10.140625" bestFit="1" customWidth="1"/>
    <col min="8" max="8" width="8.5703125" bestFit="1" customWidth="1"/>
    <col min="9" max="9" width="7.5703125" bestFit="1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52500</v>
      </c>
      <c r="D6" s="6">
        <f>Inputs!D42</f>
        <v>52521</v>
      </c>
      <c r="E6" s="6">
        <f>Inputs!E42</f>
        <v>52542</v>
      </c>
      <c r="F6" s="6">
        <f>Inputs!F42</f>
        <v>52563</v>
      </c>
      <c r="G6" s="6">
        <f>Inputs!G42</f>
        <v>52584</v>
      </c>
      <c r="H6" s="6">
        <f>Inputs!H42</f>
        <v>52605</v>
      </c>
      <c r="I6" s="6">
        <f>Inputs!I42</f>
        <v>52626</v>
      </c>
    </row>
    <row r="7" spans="2:9">
      <c r="B7" s="31" t="s">
        <v>52</v>
      </c>
      <c r="C7" s="6">
        <f>Inputs!C61</f>
        <v>11250</v>
      </c>
      <c r="D7" s="6">
        <f>Inputs!D61</f>
        <v>11254.5</v>
      </c>
      <c r="E7" s="6">
        <f>Inputs!E61</f>
        <v>11259</v>
      </c>
      <c r="F7" s="6">
        <f>Inputs!F61</f>
        <v>11263.5</v>
      </c>
      <c r="G7" s="6">
        <f>Inputs!G61</f>
        <v>11268</v>
      </c>
      <c r="H7" s="6">
        <f>Inputs!H61</f>
        <v>11272.5</v>
      </c>
      <c r="I7" s="6">
        <f>Inputs!I61</f>
        <v>11277</v>
      </c>
    </row>
    <row r="8" spans="2:9">
      <c r="B8" s="29" t="s">
        <v>12</v>
      </c>
      <c r="C8" s="17">
        <f>1-(C7/C6)</f>
        <v>0.7857142857142857</v>
      </c>
      <c r="D8" s="17">
        <f t="shared" ref="D8:I8" si="1">1-(D7/D6)</f>
        <v>0.7857142857142857</v>
      </c>
      <c r="E8" s="17">
        <f t="shared" si="1"/>
        <v>0.7857142857142857</v>
      </c>
      <c r="F8" s="17">
        <f t="shared" si="1"/>
        <v>0.7857142857142857</v>
      </c>
      <c r="G8" s="17">
        <f t="shared" si="1"/>
        <v>0.7857142857142857</v>
      </c>
      <c r="H8" s="17">
        <f t="shared" si="1"/>
        <v>0.7857142857142857</v>
      </c>
      <c r="I8" s="17">
        <f t="shared" si="1"/>
        <v>0.7857142857142857</v>
      </c>
    </row>
    <row r="9" spans="2:9">
      <c r="B9" s="30"/>
    </row>
    <row r="10" spans="2:9">
      <c r="B10" s="37" t="s">
        <v>10</v>
      </c>
      <c r="C10" s="6">
        <f>C6-C7</f>
        <v>41250</v>
      </c>
      <c r="D10" s="6">
        <f t="shared" ref="D10:I10" si="2">D6-D7</f>
        <v>41266.5</v>
      </c>
      <c r="E10" s="6">
        <f t="shared" si="2"/>
        <v>41283</v>
      </c>
      <c r="F10" s="6">
        <f t="shared" si="2"/>
        <v>41299.5</v>
      </c>
      <c r="G10" s="6">
        <f t="shared" si="2"/>
        <v>41316</v>
      </c>
      <c r="H10" s="6">
        <f t="shared" si="2"/>
        <v>41332.5</v>
      </c>
      <c r="I10" s="6">
        <f t="shared" si="2"/>
        <v>41349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23125</v>
      </c>
      <c r="D13" s="6">
        <f t="shared" ref="D13:I13" si="3">$H$41/12</f>
        <v>23125</v>
      </c>
      <c r="E13" s="6">
        <f t="shared" si="3"/>
        <v>23125</v>
      </c>
      <c r="F13" s="6">
        <f t="shared" si="3"/>
        <v>23125</v>
      </c>
      <c r="G13" s="6">
        <f t="shared" si="3"/>
        <v>23125</v>
      </c>
      <c r="H13" s="6">
        <f t="shared" si="3"/>
        <v>23125</v>
      </c>
      <c r="I13" s="6">
        <f t="shared" si="3"/>
        <v>23125</v>
      </c>
    </row>
    <row r="14" spans="2:9">
      <c r="B14" s="33" t="str">
        <f>'Profit and Loss Statement'!D14</f>
        <v>Facility Costs</v>
      </c>
      <c r="C14" s="6">
        <f>$H$42/12</f>
        <v>1008.0833333333334</v>
      </c>
      <c r="D14" s="6">
        <f t="shared" ref="D14:I14" si="4">$H$42/12</f>
        <v>1008.0833333333334</v>
      </c>
      <c r="E14" s="6">
        <f t="shared" si="4"/>
        <v>1008.0833333333334</v>
      </c>
      <c r="F14" s="6">
        <f t="shared" si="4"/>
        <v>1008.0833333333334</v>
      </c>
      <c r="G14" s="6">
        <f t="shared" si="4"/>
        <v>1008.0833333333334</v>
      </c>
      <c r="H14" s="6">
        <f t="shared" si="4"/>
        <v>1008.0833333333334</v>
      </c>
      <c r="I14" s="6">
        <f t="shared" si="4"/>
        <v>1008.0833333333334</v>
      </c>
    </row>
    <row r="15" spans="2:9">
      <c r="B15" s="33" t="str">
        <f>'Profit and Loss Statement'!D15</f>
        <v>General and Administrative</v>
      </c>
      <c r="C15" s="6">
        <f>$H$43/12</f>
        <v>826.0633499999999</v>
      </c>
      <c r="D15" s="6">
        <f t="shared" ref="D15:I15" si="5">$H$43/12</f>
        <v>826.0633499999999</v>
      </c>
      <c r="E15" s="6">
        <f t="shared" si="5"/>
        <v>826.0633499999999</v>
      </c>
      <c r="F15" s="6">
        <f t="shared" si="5"/>
        <v>826.0633499999999</v>
      </c>
      <c r="G15" s="6">
        <f t="shared" si="5"/>
        <v>826.0633499999999</v>
      </c>
      <c r="H15" s="6">
        <f t="shared" si="5"/>
        <v>826.0633499999999</v>
      </c>
      <c r="I15" s="6">
        <f t="shared" si="5"/>
        <v>826.0633499999999</v>
      </c>
    </row>
    <row r="16" spans="2:9">
      <c r="B16" s="33" t="str">
        <f>'Profit and Loss Statement'!D16</f>
        <v>Equipment Costs</v>
      </c>
      <c r="C16" s="6">
        <f>$H$44/12</f>
        <v>799.75559999999996</v>
      </c>
      <c r="D16" s="6">
        <f t="shared" ref="D16:I16" si="6">$H$44/12</f>
        <v>799.75559999999996</v>
      </c>
      <c r="E16" s="6">
        <f t="shared" si="6"/>
        <v>799.75559999999996</v>
      </c>
      <c r="F16" s="6">
        <f t="shared" si="6"/>
        <v>799.75559999999996</v>
      </c>
      <c r="G16" s="6">
        <f t="shared" si="6"/>
        <v>799.75559999999996</v>
      </c>
      <c r="H16" s="6">
        <f t="shared" si="6"/>
        <v>799.75559999999996</v>
      </c>
      <c r="I16" s="6">
        <f t="shared" si="6"/>
        <v>799.75559999999996</v>
      </c>
    </row>
    <row r="17" spans="2:9">
      <c r="B17" s="33" t="str">
        <f>'Profit and Loss Statement'!D17</f>
        <v>Insurance Costs</v>
      </c>
      <c r="C17" s="6">
        <f>$H$45/12</f>
        <v>693.75</v>
      </c>
      <c r="D17" s="6">
        <f t="shared" ref="D17:I17" si="7">$H$45/12</f>
        <v>693.75</v>
      </c>
      <c r="E17" s="6">
        <f t="shared" si="7"/>
        <v>693.75</v>
      </c>
      <c r="F17" s="6">
        <f t="shared" si="7"/>
        <v>693.75</v>
      </c>
      <c r="G17" s="6">
        <f t="shared" si="7"/>
        <v>693.75</v>
      </c>
      <c r="H17" s="6">
        <f t="shared" si="7"/>
        <v>693.75</v>
      </c>
      <c r="I17" s="6">
        <f t="shared" si="7"/>
        <v>693.75</v>
      </c>
    </row>
    <row r="18" spans="2:9">
      <c r="B18" s="33" t="str">
        <f>'Profit and Loss Statement'!D18</f>
        <v>Marketing</v>
      </c>
      <c r="C18" s="6">
        <f>$H$46/12</f>
        <v>631.38600000000008</v>
      </c>
      <c r="D18" s="6">
        <f t="shared" ref="D18:I18" si="8">$H$46/12</f>
        <v>631.38600000000008</v>
      </c>
      <c r="E18" s="6">
        <f t="shared" si="8"/>
        <v>631.38600000000008</v>
      </c>
      <c r="F18" s="6">
        <f t="shared" si="8"/>
        <v>631.38600000000008</v>
      </c>
      <c r="G18" s="6">
        <f t="shared" si="8"/>
        <v>631.38600000000008</v>
      </c>
      <c r="H18" s="6">
        <f t="shared" si="8"/>
        <v>631.38600000000008</v>
      </c>
      <c r="I18" s="6">
        <f t="shared" si="8"/>
        <v>631.38600000000008</v>
      </c>
    </row>
    <row r="19" spans="2:9">
      <c r="B19" s="33" t="str">
        <f>'Profit and Loss Statement'!D19</f>
        <v>Professional Fees and Licensure</v>
      </c>
      <c r="C19" s="6">
        <f>$H$47/12</f>
        <v>461.75</v>
      </c>
      <c r="D19" s="6">
        <f t="shared" ref="D19:I19" si="9">$H$47/12</f>
        <v>461.75</v>
      </c>
      <c r="E19" s="6">
        <f t="shared" si="9"/>
        <v>461.75</v>
      </c>
      <c r="F19" s="6">
        <f t="shared" si="9"/>
        <v>461.75</v>
      </c>
      <c r="G19" s="6">
        <f t="shared" si="9"/>
        <v>461.75</v>
      </c>
      <c r="H19" s="6">
        <f t="shared" si="9"/>
        <v>461.75</v>
      </c>
      <c r="I19" s="6">
        <f t="shared" si="9"/>
        <v>461.75</v>
      </c>
    </row>
    <row r="20" spans="2:9">
      <c r="B20" s="29" t="s">
        <v>14</v>
      </c>
      <c r="C20" s="6">
        <f>$H$48/12</f>
        <v>1769.0625</v>
      </c>
      <c r="D20" s="6">
        <f t="shared" ref="D20:I20" si="10">$H$48/12</f>
        <v>1769.0625</v>
      </c>
      <c r="E20" s="6">
        <f t="shared" si="10"/>
        <v>1769.0625</v>
      </c>
      <c r="F20" s="6">
        <f t="shared" si="10"/>
        <v>1769.0625</v>
      </c>
      <c r="G20" s="6">
        <f t="shared" si="10"/>
        <v>1769.0625</v>
      </c>
      <c r="H20" s="6">
        <f t="shared" si="10"/>
        <v>1769.0625</v>
      </c>
      <c r="I20" s="6">
        <f t="shared" si="10"/>
        <v>1769.0625</v>
      </c>
    </row>
    <row r="21" spans="2:9">
      <c r="B21" s="28" t="s">
        <v>8</v>
      </c>
      <c r="C21" s="6">
        <f>SUM(C13:C20)</f>
        <v>29314.850783333331</v>
      </c>
      <c r="D21" s="6">
        <f t="shared" ref="D21:I21" si="11">SUM(D13:D20)</f>
        <v>29314.850783333331</v>
      </c>
      <c r="E21" s="6">
        <f t="shared" si="11"/>
        <v>29314.850783333331</v>
      </c>
      <c r="F21" s="6">
        <f t="shared" si="11"/>
        <v>29314.850783333331</v>
      </c>
      <c r="G21" s="6">
        <f t="shared" si="11"/>
        <v>29314.850783333331</v>
      </c>
      <c r="H21" s="6">
        <f t="shared" si="11"/>
        <v>29314.850783333331</v>
      </c>
      <c r="I21" s="6">
        <f t="shared" si="11"/>
        <v>29314.850783333331</v>
      </c>
    </row>
    <row r="22" spans="2:9">
      <c r="B22" s="30"/>
    </row>
    <row r="23" spans="2:9">
      <c r="B23" s="24" t="s">
        <v>47</v>
      </c>
      <c r="C23" s="25">
        <f>C10-C21</f>
        <v>11935.149216666669</v>
      </c>
      <c r="D23" s="25">
        <f t="shared" ref="D23:I23" si="12">D10-D21</f>
        <v>11951.649216666669</v>
      </c>
      <c r="E23" s="25">
        <f t="shared" si="12"/>
        <v>11968.149216666669</v>
      </c>
      <c r="F23" s="25">
        <f t="shared" si="12"/>
        <v>11984.649216666669</v>
      </c>
      <c r="G23" s="25">
        <f t="shared" si="12"/>
        <v>12001.149216666669</v>
      </c>
      <c r="H23" s="25">
        <f t="shared" si="12"/>
        <v>12017.649216666669</v>
      </c>
      <c r="I23" s="25">
        <f t="shared" si="12"/>
        <v>12034.149216666669</v>
      </c>
    </row>
    <row r="24" spans="2:9">
      <c r="B24" s="29" t="s">
        <v>15</v>
      </c>
      <c r="C24" s="6">
        <f>(C6/$H$34)*$H$52</f>
        <v>2375.2832112608066</v>
      </c>
      <c r="D24" s="6">
        <f t="shared" ref="D24:I24" si="13">(D6/$H$34)*$H$52</f>
        <v>2376.233324545311</v>
      </c>
      <c r="E24" s="6">
        <f t="shared" si="13"/>
        <v>2377.1834378298154</v>
      </c>
      <c r="F24" s="6">
        <f t="shared" si="13"/>
        <v>2378.1335511143197</v>
      </c>
      <c r="G24" s="6">
        <f t="shared" si="13"/>
        <v>2379.0836643988241</v>
      </c>
      <c r="H24" s="6">
        <f t="shared" si="13"/>
        <v>2380.033777683328</v>
      </c>
      <c r="I24" s="6">
        <f t="shared" si="13"/>
        <v>2380.9838909678324</v>
      </c>
    </row>
    <row r="25" spans="2:9">
      <c r="B25" s="29" t="s">
        <v>102</v>
      </c>
      <c r="C25" s="6">
        <f>(C6/$H$34)*$H$53</f>
        <v>475.05664225216134</v>
      </c>
      <c r="D25" s="6">
        <f t="shared" ref="D25:I25" si="14">(D6/$H$34)*$H$53</f>
        <v>475.24666490906225</v>
      </c>
      <c r="E25" s="6">
        <f t="shared" si="14"/>
        <v>475.4366875659631</v>
      </c>
      <c r="F25" s="6">
        <f t="shared" si="14"/>
        <v>475.62671022286401</v>
      </c>
      <c r="G25" s="6">
        <f t="shared" si="14"/>
        <v>475.81673287976486</v>
      </c>
      <c r="H25" s="6">
        <f t="shared" si="14"/>
        <v>476.00675553666565</v>
      </c>
      <c r="I25" s="6">
        <f t="shared" si="14"/>
        <v>476.19677819356656</v>
      </c>
    </row>
    <row r="26" spans="2:9">
      <c r="B26" s="29" t="s">
        <v>16</v>
      </c>
      <c r="C26" s="6">
        <f>'Loan Amortization Table'!D14</f>
        <v>1166.6666666666667</v>
      </c>
      <c r="D26" s="6">
        <f>'Loan Amortization Table'!D15</f>
        <v>1159.9262329800495</v>
      </c>
      <c r="E26" s="6">
        <f>'Loan Amortization Table'!D16</f>
        <v>1153.146480096927</v>
      </c>
      <c r="F26" s="6">
        <f>'Loan Amortization Table'!D17</f>
        <v>1146.3271786553198</v>
      </c>
      <c r="G26" s="6">
        <f>'Loan Amortization Table'!D18</f>
        <v>1139.4680979553029</v>
      </c>
      <c r="H26" s="6">
        <f>'Loan Amortization Table'!D19</f>
        <v>1132.5690059512028</v>
      </c>
      <c r="I26" s="6">
        <f>'Loan Amortization Table'!D20</f>
        <v>1125.6296692437452</v>
      </c>
    </row>
    <row r="27" spans="2:9">
      <c r="B27" s="29" t="s">
        <v>54</v>
      </c>
      <c r="C27" s="6">
        <f>$H$55/12</f>
        <v>1375</v>
      </c>
      <c r="D27" s="6">
        <f t="shared" ref="D27:I27" si="15">$H$55/12</f>
        <v>1375</v>
      </c>
      <c r="E27" s="6">
        <f t="shared" si="15"/>
        <v>1375</v>
      </c>
      <c r="F27" s="6">
        <f t="shared" si="15"/>
        <v>1375</v>
      </c>
      <c r="G27" s="6">
        <f t="shared" si="15"/>
        <v>1375</v>
      </c>
      <c r="H27" s="6">
        <f t="shared" si="15"/>
        <v>1375</v>
      </c>
      <c r="I27" s="6">
        <f t="shared" si="15"/>
        <v>1375</v>
      </c>
    </row>
    <row r="28" spans="2:9">
      <c r="B28" s="38" t="s">
        <v>17</v>
      </c>
      <c r="C28" s="39">
        <f>C23-SUM(C24:C27)</f>
        <v>6543.1426964870334</v>
      </c>
      <c r="D28" s="39">
        <f t="shared" ref="D28:I28" si="16">D23-SUM(D24:D27)</f>
        <v>6565.242994232246</v>
      </c>
      <c r="E28" s="39">
        <f t="shared" si="16"/>
        <v>6587.3826111739636</v>
      </c>
      <c r="F28" s="39">
        <f t="shared" si="16"/>
        <v>6609.5617766741652</v>
      </c>
      <c r="G28" s="39">
        <f t="shared" si="16"/>
        <v>6631.7807214327768</v>
      </c>
      <c r="H28" s="39">
        <f t="shared" si="16"/>
        <v>6654.0396774954725</v>
      </c>
      <c r="I28" s="39">
        <f t="shared" si="16"/>
        <v>6676.3388782615248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52647</v>
      </c>
      <c r="D34" s="6">
        <f>Inputs!K42</f>
        <v>52668</v>
      </c>
      <c r="E34" s="6">
        <f>Inputs!L42</f>
        <v>52689</v>
      </c>
      <c r="F34" s="6">
        <f>Inputs!M42</f>
        <v>52710</v>
      </c>
      <c r="G34" s="6">
        <f>Inputs!N42</f>
        <v>52731</v>
      </c>
      <c r="H34" s="6">
        <f>'Profit and Loss Statement'!E6</f>
        <v>631386</v>
      </c>
    </row>
    <row r="35" spans="2:8">
      <c r="B35" s="31" t="s">
        <v>52</v>
      </c>
      <c r="C35" s="6">
        <f>Inputs!J61</f>
        <v>11281.5</v>
      </c>
      <c r="D35" s="6">
        <f>Inputs!K61</f>
        <v>11286</v>
      </c>
      <c r="E35" s="6">
        <f>Inputs!L61</f>
        <v>11290.5</v>
      </c>
      <c r="F35" s="6">
        <f>Inputs!M61</f>
        <v>11295</v>
      </c>
      <c r="G35" s="6">
        <f>Inputs!N61</f>
        <v>11299.5</v>
      </c>
      <c r="H35" s="6">
        <f>'Profit and Loss Statement'!E7</f>
        <v>135297</v>
      </c>
    </row>
    <row r="36" spans="2:8">
      <c r="B36" s="29" t="s">
        <v>12</v>
      </c>
      <c r="C36" s="17">
        <f>1-(C35/C34)</f>
        <v>0.7857142857142857</v>
      </c>
      <c r="D36" s="17">
        <f t="shared" ref="D36:H36" si="18">1-(D35/D34)</f>
        <v>0.7857142857142857</v>
      </c>
      <c r="E36" s="17">
        <f t="shared" si="18"/>
        <v>0.7857142857142857</v>
      </c>
      <c r="F36" s="17">
        <f t="shared" si="18"/>
        <v>0.7857142857142857</v>
      </c>
      <c r="G36" s="17">
        <f t="shared" si="18"/>
        <v>0.7857142857142857</v>
      </c>
      <c r="H36" s="17">
        <f t="shared" si="18"/>
        <v>0.7857142857142857</v>
      </c>
    </row>
    <row r="37" spans="2:8">
      <c r="B37" s="30"/>
    </row>
    <row r="38" spans="2:8">
      <c r="B38" s="37" t="s">
        <v>10</v>
      </c>
      <c r="C38" s="6">
        <f>C34-C35</f>
        <v>41365.5</v>
      </c>
      <c r="D38" s="6">
        <f t="shared" ref="D38:H38" si="19">D34-D35</f>
        <v>41382</v>
      </c>
      <c r="E38" s="6">
        <f t="shared" si="19"/>
        <v>41398.5</v>
      </c>
      <c r="F38" s="6">
        <f t="shared" si="19"/>
        <v>41415</v>
      </c>
      <c r="G38" s="6">
        <f t="shared" si="19"/>
        <v>41431.5</v>
      </c>
      <c r="H38" s="6">
        <f t="shared" si="19"/>
        <v>496089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23125</v>
      </c>
      <c r="D41" s="6">
        <f t="shared" ref="D41:G41" si="20">$H$41/12</f>
        <v>23125</v>
      </c>
      <c r="E41" s="6">
        <f t="shared" si="20"/>
        <v>23125</v>
      </c>
      <c r="F41" s="6">
        <f t="shared" si="20"/>
        <v>23125</v>
      </c>
      <c r="G41" s="6">
        <f t="shared" si="20"/>
        <v>23125</v>
      </c>
      <c r="H41" s="6">
        <f>'Profit and Loss Statement'!E13</f>
        <v>277500</v>
      </c>
    </row>
    <row r="42" spans="2:8">
      <c r="B42" s="33" t="str">
        <f>B14</f>
        <v>Facility Costs</v>
      </c>
      <c r="C42" s="6">
        <f>$H$42/12</f>
        <v>1008.0833333333334</v>
      </c>
      <c r="D42" s="6">
        <f t="shared" ref="D42:G42" si="21">$H$42/12</f>
        <v>1008.0833333333334</v>
      </c>
      <c r="E42" s="6">
        <f t="shared" si="21"/>
        <v>1008.0833333333334</v>
      </c>
      <c r="F42" s="6">
        <f t="shared" si="21"/>
        <v>1008.0833333333334</v>
      </c>
      <c r="G42" s="6">
        <f t="shared" si="21"/>
        <v>1008.0833333333334</v>
      </c>
      <c r="H42" s="6">
        <f>'Profit and Loss Statement'!E14</f>
        <v>12097</v>
      </c>
    </row>
    <row r="43" spans="2:8">
      <c r="B43" s="33" t="str">
        <f t="shared" ref="B43:B47" si="22">B15</f>
        <v>General and Administrative</v>
      </c>
      <c r="C43" s="6">
        <f>$H$43/12</f>
        <v>826.0633499999999</v>
      </c>
      <c r="D43" s="6">
        <f t="shared" ref="D43:G43" si="23">$H$43/12</f>
        <v>826.0633499999999</v>
      </c>
      <c r="E43" s="6">
        <f t="shared" si="23"/>
        <v>826.0633499999999</v>
      </c>
      <c r="F43" s="6">
        <f t="shared" si="23"/>
        <v>826.0633499999999</v>
      </c>
      <c r="G43" s="6">
        <f t="shared" si="23"/>
        <v>826.0633499999999</v>
      </c>
      <c r="H43" s="6">
        <f>'Profit and Loss Statement'!E15</f>
        <v>9912.7601999999988</v>
      </c>
    </row>
    <row r="44" spans="2:8">
      <c r="B44" s="33" t="str">
        <f t="shared" si="22"/>
        <v>Equipment Costs</v>
      </c>
      <c r="C44" s="6">
        <f>$H$44/12</f>
        <v>799.75559999999996</v>
      </c>
      <c r="D44" s="6">
        <f t="shared" ref="D44:G44" si="24">$H$44/12</f>
        <v>799.75559999999996</v>
      </c>
      <c r="E44" s="6">
        <f t="shared" si="24"/>
        <v>799.75559999999996</v>
      </c>
      <c r="F44" s="6">
        <f t="shared" si="24"/>
        <v>799.75559999999996</v>
      </c>
      <c r="G44" s="6">
        <f t="shared" si="24"/>
        <v>799.75559999999996</v>
      </c>
      <c r="H44" s="6">
        <f>'Profit and Loss Statement'!E16</f>
        <v>9597.0671999999995</v>
      </c>
    </row>
    <row r="45" spans="2:8">
      <c r="B45" s="33" t="str">
        <f t="shared" si="22"/>
        <v>Insurance Costs</v>
      </c>
      <c r="C45" s="6">
        <f>$H$45/12</f>
        <v>693.75</v>
      </c>
      <c r="D45" s="6">
        <f t="shared" ref="D45:G45" si="25">$H$45/12</f>
        <v>693.75</v>
      </c>
      <c r="E45" s="6">
        <f t="shared" si="25"/>
        <v>693.75</v>
      </c>
      <c r="F45" s="6">
        <f t="shared" si="25"/>
        <v>693.75</v>
      </c>
      <c r="G45" s="6">
        <f t="shared" si="25"/>
        <v>693.75</v>
      </c>
      <c r="H45" s="6">
        <f>'Profit and Loss Statement'!E17</f>
        <v>8325</v>
      </c>
    </row>
    <row r="46" spans="2:8">
      <c r="B46" s="33" t="str">
        <f t="shared" si="22"/>
        <v>Marketing</v>
      </c>
      <c r="C46" s="6">
        <f>$H$46/12</f>
        <v>631.38600000000008</v>
      </c>
      <c r="D46" s="6">
        <f t="shared" ref="D46:G46" si="26">$H$46/12</f>
        <v>631.38600000000008</v>
      </c>
      <c r="E46" s="6">
        <f t="shared" si="26"/>
        <v>631.38600000000008</v>
      </c>
      <c r="F46" s="6">
        <f t="shared" si="26"/>
        <v>631.38600000000008</v>
      </c>
      <c r="G46" s="6">
        <f t="shared" si="26"/>
        <v>631.38600000000008</v>
      </c>
      <c r="H46" s="6">
        <f>'Profit and Loss Statement'!E18</f>
        <v>7576.6320000000005</v>
      </c>
    </row>
    <row r="47" spans="2:8">
      <c r="B47" s="33" t="str">
        <f t="shared" si="22"/>
        <v>Professional Fees and Licensure</v>
      </c>
      <c r="C47" s="6">
        <f>$H$47/12</f>
        <v>461.75</v>
      </c>
      <c r="D47" s="6">
        <f t="shared" ref="D47:G47" si="27">$H$47/12</f>
        <v>461.75</v>
      </c>
      <c r="E47" s="6">
        <f t="shared" si="27"/>
        <v>461.75</v>
      </c>
      <c r="F47" s="6">
        <f t="shared" si="27"/>
        <v>461.75</v>
      </c>
      <c r="G47" s="6">
        <f t="shared" si="27"/>
        <v>461.75</v>
      </c>
      <c r="H47" s="6">
        <f>'Profit and Loss Statement'!E19</f>
        <v>5541</v>
      </c>
    </row>
    <row r="48" spans="2:8">
      <c r="B48" s="29" t="s">
        <v>14</v>
      </c>
      <c r="C48" s="6">
        <f>$H$48/12</f>
        <v>1769.0625</v>
      </c>
      <c r="D48" s="6">
        <f t="shared" ref="D48:G48" si="28">$H$48/12</f>
        <v>1769.0625</v>
      </c>
      <c r="E48" s="6">
        <f t="shared" si="28"/>
        <v>1769.0625</v>
      </c>
      <c r="F48" s="6">
        <f t="shared" si="28"/>
        <v>1769.0625</v>
      </c>
      <c r="G48" s="6">
        <f t="shared" si="28"/>
        <v>1769.0625</v>
      </c>
      <c r="H48" s="6">
        <f>'Profit and Loss Statement'!E20</f>
        <v>21228.75</v>
      </c>
    </row>
    <row r="49" spans="2:15">
      <c r="B49" s="28" t="s">
        <v>8</v>
      </c>
      <c r="C49" s="6">
        <f>SUM(C41:C48)</f>
        <v>29314.850783333331</v>
      </c>
      <c r="D49" s="6">
        <f t="shared" ref="D49:G49" si="29">SUM(D41:D48)</f>
        <v>29314.850783333331</v>
      </c>
      <c r="E49" s="6">
        <f t="shared" si="29"/>
        <v>29314.850783333331</v>
      </c>
      <c r="F49" s="6">
        <f t="shared" si="29"/>
        <v>29314.850783333331</v>
      </c>
      <c r="G49" s="6">
        <f t="shared" si="29"/>
        <v>29314.850783333331</v>
      </c>
      <c r="H49" s="6">
        <f>'Profit and Loss Statement'!E21</f>
        <v>351778.20939999999</v>
      </c>
    </row>
    <row r="50" spans="2:15">
      <c r="B50" s="30"/>
    </row>
    <row r="51" spans="2:15">
      <c r="B51" s="24" t="s">
        <v>47</v>
      </c>
      <c r="C51" s="25">
        <f>C38-C49</f>
        <v>12050.649216666669</v>
      </c>
      <c r="D51" s="25">
        <f t="shared" ref="D51:H51" si="30">D38-D49</f>
        <v>12067.149216666669</v>
      </c>
      <c r="E51" s="25">
        <f t="shared" si="30"/>
        <v>12083.649216666669</v>
      </c>
      <c r="F51" s="25">
        <f t="shared" si="30"/>
        <v>12100.149216666669</v>
      </c>
      <c r="G51" s="25">
        <f t="shared" si="30"/>
        <v>12116.649216666669</v>
      </c>
      <c r="H51" s="25">
        <f t="shared" si="30"/>
        <v>144310.79060000001</v>
      </c>
    </row>
    <row r="52" spans="2:15">
      <c r="B52" s="29" t="s">
        <v>15</v>
      </c>
      <c r="C52" s="6">
        <f>(C34/$H$34)*$H$52</f>
        <v>2381.9340042523368</v>
      </c>
      <c r="D52" s="6">
        <f t="shared" ref="D52:G52" si="31">(D34/$H$34)*$H$52</f>
        <v>2382.8841175368416</v>
      </c>
      <c r="E52" s="6">
        <f t="shared" si="31"/>
        <v>2383.834230821346</v>
      </c>
      <c r="F52" s="6">
        <f t="shared" si="31"/>
        <v>2384.7843441058503</v>
      </c>
      <c r="G52" s="6">
        <f t="shared" si="31"/>
        <v>2385.7344573903542</v>
      </c>
      <c r="H52" s="6">
        <f>'Profit and Loss Statement'!E24</f>
        <v>28566.106011906966</v>
      </c>
    </row>
    <row r="53" spans="2:15">
      <c r="B53" s="29" t="s">
        <v>102</v>
      </c>
      <c r="C53" s="6">
        <f>(C34/$H$34)*$H$53</f>
        <v>476.38680085046741</v>
      </c>
      <c r="D53" s="6">
        <f t="shared" ref="D53:G53" si="32">(D34/$H$34)*$H$53</f>
        <v>476.57682350736832</v>
      </c>
      <c r="E53" s="6">
        <f t="shared" si="32"/>
        <v>476.76684616426917</v>
      </c>
      <c r="F53" s="6">
        <f t="shared" si="32"/>
        <v>476.95686882117008</v>
      </c>
      <c r="G53" s="6">
        <f t="shared" si="32"/>
        <v>477.14689147807087</v>
      </c>
      <c r="H53" s="6">
        <f>'Profit and Loss Statement'!E25</f>
        <v>5713.2212023813936</v>
      </c>
    </row>
    <row r="54" spans="2:15">
      <c r="B54" s="29" t="s">
        <v>16</v>
      </c>
      <c r="C54" s="6">
        <f>'Loan Amortization Table'!D21</f>
        <v>1118.649853072161</v>
      </c>
      <c r="D54" s="6">
        <f>'Loan Amortization Table'!D22</f>
        <v>1111.6293213062424</v>
      </c>
      <c r="E54" s="6">
        <f>'Loan Amortization Table'!D23</f>
        <v>1104.5678364383559</v>
      </c>
      <c r="F54" s="6">
        <f>'Loan Amortization Table'!D24</f>
        <v>1097.4651595754069</v>
      </c>
      <c r="G54" s="6">
        <f>'Loan Amortization Table'!D25</f>
        <v>1090.3210504307574</v>
      </c>
      <c r="H54" s="6">
        <f>'Profit and Loss Statement'!E26</f>
        <v>13546.366552372139</v>
      </c>
    </row>
    <row r="55" spans="2:15">
      <c r="B55" s="29" t="s">
        <v>54</v>
      </c>
      <c r="C55" s="6">
        <f>$H$55/12</f>
        <v>1375</v>
      </c>
      <c r="D55" s="6">
        <f t="shared" ref="D55:G55" si="33">$H$55/12</f>
        <v>1375</v>
      </c>
      <c r="E55" s="6">
        <f t="shared" si="33"/>
        <v>1375</v>
      </c>
      <c r="F55" s="6">
        <f t="shared" si="33"/>
        <v>1375</v>
      </c>
      <c r="G55" s="6">
        <f t="shared" si="33"/>
        <v>1375</v>
      </c>
      <c r="H55" s="6">
        <f>'Profit and Loss Statement'!E27</f>
        <v>16500</v>
      </c>
    </row>
    <row r="56" spans="2:15">
      <c r="B56" s="38" t="s">
        <v>17</v>
      </c>
      <c r="C56" s="39">
        <f>C51-SUM(C52:C55)</f>
        <v>6698.6785584917034</v>
      </c>
      <c r="D56" s="39">
        <f t="shared" ref="D56:G56" si="34">D51-SUM(D52:D55)</f>
        <v>6721.0589543162159</v>
      </c>
      <c r="E56" s="39">
        <f t="shared" si="34"/>
        <v>6743.4803032426971</v>
      </c>
      <c r="F56" s="39">
        <f t="shared" si="34"/>
        <v>6765.9428441642413</v>
      </c>
      <c r="G56" s="39">
        <f t="shared" si="34"/>
        <v>6788.4468173674859</v>
      </c>
      <c r="H56" s="39">
        <f>'Profit and Loss Statement'!E28</f>
        <v>79985.096833339514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236769.75</v>
      </c>
      <c r="D62" s="6">
        <f t="shared" ref="D62:F62" si="38">$G$62*M62</f>
        <v>236769.75</v>
      </c>
      <c r="E62" s="6">
        <f t="shared" si="38"/>
        <v>236769.75</v>
      </c>
      <c r="F62" s="6">
        <f t="shared" si="38"/>
        <v>236769.75</v>
      </c>
      <c r="G62" s="6">
        <f>'Profit and Loss Statement'!F6</f>
        <v>947079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50736.375</v>
      </c>
      <c r="D63" s="6">
        <f t="shared" ref="D63:F63" si="39">$G$63*M62</f>
        <v>50736.375</v>
      </c>
      <c r="E63" s="6">
        <f t="shared" si="39"/>
        <v>50736.375</v>
      </c>
      <c r="F63" s="6">
        <f t="shared" si="39"/>
        <v>50736.375</v>
      </c>
      <c r="G63" s="6">
        <f>'Profit and Loss Statement'!F7</f>
        <v>202945.5</v>
      </c>
    </row>
    <row r="64" spans="2:15">
      <c r="B64" s="29" t="s">
        <v>12</v>
      </c>
      <c r="C64" s="17">
        <f>1-(C63/C62)</f>
        <v>0.7857142857142857</v>
      </c>
      <c r="D64" s="17">
        <f t="shared" ref="D64" si="40">1-(D63/D62)</f>
        <v>0.7857142857142857</v>
      </c>
      <c r="E64" s="17">
        <f t="shared" ref="E64" si="41">1-(E63/E62)</f>
        <v>0.7857142857142857</v>
      </c>
      <c r="F64" s="17">
        <f t="shared" ref="F64:G64" si="42">1-(F63/F62)</f>
        <v>0.7857142857142857</v>
      </c>
      <c r="G64" s="17">
        <f t="shared" si="42"/>
        <v>0.7857142857142857</v>
      </c>
    </row>
    <row r="65" spans="2:7">
      <c r="B65" s="30"/>
    </row>
    <row r="66" spans="2:7">
      <c r="B66" s="37" t="s">
        <v>10</v>
      </c>
      <c r="C66" s="6">
        <f>C62-C63</f>
        <v>186033.375</v>
      </c>
      <c r="D66" s="6">
        <f t="shared" ref="D66:G66" si="43">D62-D63</f>
        <v>186033.375</v>
      </c>
      <c r="E66" s="6">
        <f t="shared" si="43"/>
        <v>186033.375</v>
      </c>
      <c r="F66" s="6">
        <f t="shared" si="43"/>
        <v>186033.375</v>
      </c>
      <c r="G66" s="6">
        <f t="shared" si="43"/>
        <v>744133.5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84331.25</v>
      </c>
      <c r="D69" s="6">
        <f t="shared" ref="D69:F69" si="44">$G$69/4</f>
        <v>84331.25</v>
      </c>
      <c r="E69" s="6">
        <f t="shared" si="44"/>
        <v>84331.25</v>
      </c>
      <c r="F69" s="6">
        <f t="shared" si="44"/>
        <v>84331.25</v>
      </c>
      <c r="G69" s="6">
        <f>'Profit and Loss Statement'!F13</f>
        <v>337325</v>
      </c>
    </row>
    <row r="70" spans="2:7">
      <c r="B70" s="33" t="str">
        <f>B42</f>
        <v>Facility Costs</v>
      </c>
      <c r="C70" s="6">
        <f>$G$70/4</f>
        <v>3114.9775</v>
      </c>
      <c r="D70" s="6">
        <f t="shared" ref="D70:F70" si="45">$G$70/4</f>
        <v>3114.9775</v>
      </c>
      <c r="E70" s="6">
        <f t="shared" si="45"/>
        <v>3114.9775</v>
      </c>
      <c r="F70" s="6">
        <f t="shared" si="45"/>
        <v>3114.9775</v>
      </c>
      <c r="G70" s="6">
        <f>'Profit and Loss Statement'!F14</f>
        <v>12459.91</v>
      </c>
    </row>
    <row r="71" spans="2:7">
      <c r="B71" s="33" t="str">
        <f t="shared" ref="B71:B75" si="46">B43</f>
        <v>General and Administrative</v>
      </c>
      <c r="C71" s="6">
        <f>$G$71/4</f>
        <v>3717.2850749999998</v>
      </c>
      <c r="D71" s="6">
        <f t="shared" ref="D71:F71" si="47">$G$71/4</f>
        <v>3717.2850749999998</v>
      </c>
      <c r="E71" s="6">
        <f t="shared" si="47"/>
        <v>3717.2850749999998</v>
      </c>
      <c r="F71" s="6">
        <f t="shared" si="47"/>
        <v>3717.2850749999998</v>
      </c>
      <c r="G71" s="6">
        <f>'Profit and Loss Statement'!F15</f>
        <v>14869.140299999999</v>
      </c>
    </row>
    <row r="72" spans="2:7">
      <c r="B72" s="33" t="str">
        <f t="shared" si="46"/>
        <v>Equipment Costs</v>
      </c>
      <c r="C72" s="6">
        <f>$G$72/4</f>
        <v>3598.9002</v>
      </c>
      <c r="D72" s="6">
        <f t="shared" ref="D72:F72" si="48">$G$72/4</f>
        <v>3598.9002</v>
      </c>
      <c r="E72" s="6">
        <f t="shared" si="48"/>
        <v>3598.9002</v>
      </c>
      <c r="F72" s="6">
        <f t="shared" si="48"/>
        <v>3598.9002</v>
      </c>
      <c r="G72" s="6">
        <f>'Profit and Loss Statement'!F16</f>
        <v>14395.6008</v>
      </c>
    </row>
    <row r="73" spans="2:7">
      <c r="B73" s="33" t="str">
        <f t="shared" si="46"/>
        <v>Insurance Costs</v>
      </c>
      <c r="C73" s="6">
        <f>$G$73/4</f>
        <v>2529.9375</v>
      </c>
      <c r="D73" s="6">
        <f t="shared" ref="D73:F73" si="49">$G$73/4</f>
        <v>2529.9375</v>
      </c>
      <c r="E73" s="6">
        <f t="shared" si="49"/>
        <v>2529.9375</v>
      </c>
      <c r="F73" s="6">
        <f t="shared" si="49"/>
        <v>2529.9375</v>
      </c>
      <c r="G73" s="6">
        <f>'Profit and Loss Statement'!F17</f>
        <v>10119.75</v>
      </c>
    </row>
    <row r="74" spans="2:7">
      <c r="B74" s="33" t="str">
        <f t="shared" si="46"/>
        <v>Marketing</v>
      </c>
      <c r="C74" s="6">
        <f>$G$74/4</f>
        <v>2841.2370000000001</v>
      </c>
      <c r="D74" s="6">
        <f t="shared" ref="D74:F74" si="50">$G$74/4</f>
        <v>2841.2370000000001</v>
      </c>
      <c r="E74" s="6">
        <f t="shared" si="50"/>
        <v>2841.2370000000001</v>
      </c>
      <c r="F74" s="6">
        <f t="shared" si="50"/>
        <v>2841.2370000000001</v>
      </c>
      <c r="G74" s="6">
        <f>'Profit and Loss Statement'!F18</f>
        <v>11364.948</v>
      </c>
    </row>
    <row r="75" spans="2:7">
      <c r="B75" s="33" t="str">
        <f t="shared" si="46"/>
        <v>Professional Fees and Licensure</v>
      </c>
      <c r="C75" s="6">
        <f>$G$75/4</f>
        <v>1870.0875000000001</v>
      </c>
      <c r="D75" s="6">
        <f t="shared" ref="D75:F75" si="51">$G$75/4</f>
        <v>1870.0875000000001</v>
      </c>
      <c r="E75" s="6">
        <f t="shared" si="51"/>
        <v>1870.0875000000001</v>
      </c>
      <c r="F75" s="6">
        <f t="shared" si="51"/>
        <v>1870.0875000000001</v>
      </c>
      <c r="G75" s="6">
        <f>'Profit and Loss Statement'!F19</f>
        <v>7480.35</v>
      </c>
    </row>
    <row r="76" spans="2:7">
      <c r="B76" s="29" t="s">
        <v>14</v>
      </c>
      <c r="C76" s="6">
        <f>$G$76/4</f>
        <v>6451.3406249999998</v>
      </c>
      <c r="D76" s="6">
        <f t="shared" ref="D76:F76" si="52">$G$76/4</f>
        <v>6451.3406249999998</v>
      </c>
      <c r="E76" s="6">
        <f t="shared" si="52"/>
        <v>6451.3406249999998</v>
      </c>
      <c r="F76" s="6">
        <f t="shared" si="52"/>
        <v>6451.3406249999998</v>
      </c>
      <c r="G76" s="6">
        <f>'Profit and Loss Statement'!F20</f>
        <v>25805.362499999999</v>
      </c>
    </row>
    <row r="77" spans="2:7">
      <c r="B77" s="28" t="s">
        <v>8</v>
      </c>
      <c r="C77" s="6">
        <f>SUM(C69:C76)</f>
        <v>108455.01539999999</v>
      </c>
      <c r="D77" s="6">
        <f t="shared" ref="D77:F77" si="53">SUM(D69:D76)</f>
        <v>108455.01539999999</v>
      </c>
      <c r="E77" s="6">
        <f t="shared" si="53"/>
        <v>108455.01539999999</v>
      </c>
      <c r="F77" s="6">
        <f t="shared" si="53"/>
        <v>108455.01539999999</v>
      </c>
      <c r="G77" s="6">
        <f>SUM(G69:G76)</f>
        <v>433820.06159999996</v>
      </c>
    </row>
    <row r="78" spans="2:7">
      <c r="B78" s="30"/>
    </row>
    <row r="79" spans="2:7">
      <c r="B79" s="24" t="s">
        <v>47</v>
      </c>
      <c r="C79" s="25">
        <f>C66-C77</f>
        <v>77578.359600000011</v>
      </c>
      <c r="D79" s="25">
        <f t="shared" ref="D79:F79" si="54">D66-D77</f>
        <v>77578.359600000011</v>
      </c>
      <c r="E79" s="25">
        <f t="shared" si="54"/>
        <v>77578.359600000011</v>
      </c>
      <c r="F79" s="25">
        <f t="shared" si="54"/>
        <v>77578.359600000011</v>
      </c>
      <c r="G79" s="25">
        <f t="shared" ref="G79" si="55">G66-G77</f>
        <v>310313.43840000004</v>
      </c>
    </row>
    <row r="80" spans="2:7">
      <c r="B80" s="29" t="s">
        <v>15</v>
      </c>
      <c r="C80" s="6">
        <f>$G$80*L62</f>
        <v>17112.640114902679</v>
      </c>
      <c r="D80" s="6">
        <f t="shared" ref="D80:F80" si="56">$G$80*M62</f>
        <v>17112.640114902679</v>
      </c>
      <c r="E80" s="6">
        <f t="shared" si="56"/>
        <v>17112.640114902679</v>
      </c>
      <c r="F80" s="6">
        <f t="shared" si="56"/>
        <v>17112.640114902679</v>
      </c>
      <c r="G80" s="6">
        <f>'Profit and Loss Statement'!F24</f>
        <v>68450.560459610715</v>
      </c>
    </row>
    <row r="81" spans="2:15">
      <c r="B81" s="29" t="s">
        <v>102</v>
      </c>
      <c r="C81" s="6">
        <f>$G$81*L62</f>
        <v>3422.5280229805358</v>
      </c>
      <c r="D81" s="6">
        <f t="shared" ref="D81:F81" si="57">$G$81*M62</f>
        <v>3422.5280229805358</v>
      </c>
      <c r="E81" s="6">
        <f t="shared" si="57"/>
        <v>3422.5280229805358</v>
      </c>
      <c r="F81" s="6">
        <f t="shared" si="57"/>
        <v>3422.5280229805358</v>
      </c>
      <c r="G81" s="6">
        <f>'Profit and Loss Statement'!F25</f>
        <v>13690.112091922143</v>
      </c>
    </row>
    <row r="82" spans="2:15">
      <c r="B82" s="29" t="s">
        <v>16</v>
      </c>
      <c r="C82" s="6">
        <f>SUM('Loan Amortization Table'!D26:D28)</f>
        <v>3227.6805398154056</v>
      </c>
      <c r="D82" s="6">
        <f>SUM('Loan Amortization Table'!D29:D31)</f>
        <v>3161.8686318957543</v>
      </c>
      <c r="E82" s="6">
        <f>SUM('Loan Amortization Table'!D32:D34)</f>
        <v>3094.8982842252167</v>
      </c>
      <c r="F82" s="6">
        <f>SUM('Loan Amortization Table'!D35:D37)</f>
        <v>3026.7491056208164</v>
      </c>
      <c r="G82" s="6">
        <f>'Profit and Loss Statement'!F26</f>
        <v>12511.196561557193</v>
      </c>
    </row>
    <row r="83" spans="2:15">
      <c r="B83" s="29" t="s">
        <v>54</v>
      </c>
      <c r="C83" s="6">
        <f>$G$83/4</f>
        <v>6000</v>
      </c>
      <c r="D83" s="6">
        <f t="shared" ref="D83:F83" si="58">$G$83/4</f>
        <v>6000</v>
      </c>
      <c r="E83" s="6">
        <f t="shared" si="58"/>
        <v>6000</v>
      </c>
      <c r="F83" s="6">
        <f t="shared" si="58"/>
        <v>6000</v>
      </c>
      <c r="G83" s="6">
        <f>'Profit and Loss Statement'!F27</f>
        <v>24000</v>
      </c>
    </row>
    <row r="84" spans="2:15">
      <c r="B84" s="38" t="s">
        <v>17</v>
      </c>
      <c r="C84" s="39">
        <f>C79-SUM(C80:C83)</f>
        <v>47815.510922301386</v>
      </c>
      <c r="D84" s="39">
        <f t="shared" ref="D84:F84" si="59">D79-SUM(D80:D83)</f>
        <v>47881.322830221041</v>
      </c>
      <c r="E84" s="39">
        <f t="shared" si="59"/>
        <v>47948.293177891581</v>
      </c>
      <c r="F84" s="39">
        <f t="shared" si="59"/>
        <v>48016.44235649598</v>
      </c>
      <c r="G84" s="39">
        <f>'Profit and Loss Statement'!F28</f>
        <v>191661.56928691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314903.76750000002</v>
      </c>
      <c r="D92" s="6">
        <f t="shared" ref="D92:F92" si="64">$G$92*M92</f>
        <v>314903.76750000002</v>
      </c>
      <c r="E92" s="6">
        <f t="shared" si="64"/>
        <v>314903.76750000002</v>
      </c>
      <c r="F92" s="6">
        <f t="shared" si="64"/>
        <v>314903.76750000002</v>
      </c>
      <c r="G92" s="6">
        <f>'Profit and Loss Statement'!G6</f>
        <v>1259615.07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67479.378750000003</v>
      </c>
      <c r="D93" s="6">
        <f t="shared" ref="D93:F93" si="65">$G$93*M92</f>
        <v>67479.378750000003</v>
      </c>
      <c r="E93" s="6">
        <f t="shared" si="65"/>
        <v>67479.378750000003</v>
      </c>
      <c r="F93" s="6">
        <f t="shared" si="65"/>
        <v>67479.378750000003</v>
      </c>
      <c r="G93" s="6">
        <f>'Profit and Loss Statement'!G7</f>
        <v>269917.51500000001</v>
      </c>
    </row>
    <row r="94" spans="2:15">
      <c r="B94" s="29" t="s">
        <v>12</v>
      </c>
      <c r="C94" s="17">
        <f>1-(C93/C92)</f>
        <v>0.7857142857142857</v>
      </c>
      <c r="D94" s="17">
        <f t="shared" ref="D94:G94" si="66">1-(D93/D92)</f>
        <v>0.7857142857142857</v>
      </c>
      <c r="E94" s="17">
        <f t="shared" si="66"/>
        <v>0.7857142857142857</v>
      </c>
      <c r="F94" s="17">
        <f t="shared" si="66"/>
        <v>0.7857142857142857</v>
      </c>
      <c r="G94" s="17">
        <f t="shared" si="66"/>
        <v>0.7857142857142857</v>
      </c>
    </row>
    <row r="95" spans="2:15">
      <c r="B95" s="30"/>
    </row>
    <row r="96" spans="2:15">
      <c r="B96" s="37" t="s">
        <v>10</v>
      </c>
      <c r="C96" s="6">
        <f>C92-C93</f>
        <v>247424.38875000001</v>
      </c>
      <c r="D96" s="6">
        <f t="shared" ref="D96:G96" si="67">D92-D93</f>
        <v>247424.38875000001</v>
      </c>
      <c r="E96" s="6">
        <f t="shared" si="67"/>
        <v>247424.38875000001</v>
      </c>
      <c r="F96" s="6">
        <f t="shared" si="67"/>
        <v>247424.38875000001</v>
      </c>
      <c r="G96" s="6">
        <f t="shared" si="67"/>
        <v>989697.55500000005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100122.4375</v>
      </c>
      <c r="D99" s="6">
        <f>$G$99/4</f>
        <v>100122.4375</v>
      </c>
      <c r="E99" s="6">
        <f>$G$99/4</f>
        <v>100122.4375</v>
      </c>
      <c r="F99" s="6">
        <f>$G$99/4</f>
        <v>100122.4375</v>
      </c>
      <c r="G99" s="6">
        <f>'Profit and Loss Statement'!G13</f>
        <v>400489.75</v>
      </c>
    </row>
    <row r="100" spans="2:7">
      <c r="B100" s="33" t="str">
        <f>B70</f>
        <v>Facility Costs</v>
      </c>
      <c r="C100" s="6">
        <f>$G$100/4</f>
        <v>3208.426825</v>
      </c>
      <c r="D100" s="6">
        <f t="shared" ref="D100:F100" si="68">$G$100/4</f>
        <v>3208.426825</v>
      </c>
      <c r="E100" s="6">
        <f t="shared" si="68"/>
        <v>3208.426825</v>
      </c>
      <c r="F100" s="6">
        <f t="shared" si="68"/>
        <v>3208.426825</v>
      </c>
      <c r="G100" s="6">
        <f>'Profit and Loss Statement'!G14</f>
        <v>12833.7073</v>
      </c>
    </row>
    <row r="101" spans="2:7">
      <c r="B101" s="33" t="str">
        <f t="shared" ref="B101:B105" si="69">B71</f>
        <v>General and Administrative</v>
      </c>
      <c r="C101" s="6">
        <f>$G101/4</f>
        <v>4943.9891497500003</v>
      </c>
      <c r="D101" s="6">
        <f t="shared" ref="D101:F101" si="70">$G101/4</f>
        <v>4943.9891497500003</v>
      </c>
      <c r="E101" s="6">
        <f t="shared" si="70"/>
        <v>4943.9891497500003</v>
      </c>
      <c r="F101" s="6">
        <f t="shared" si="70"/>
        <v>4943.9891497500003</v>
      </c>
      <c r="G101" s="6">
        <f>'Profit and Loss Statement'!G15</f>
        <v>19775.956599000001</v>
      </c>
    </row>
    <row r="102" spans="2:7">
      <c r="B102" s="33" t="str">
        <f t="shared" si="69"/>
        <v>Equipment Costs</v>
      </c>
      <c r="C102" s="6">
        <f>$G$102/4</f>
        <v>4786.5372660000003</v>
      </c>
      <c r="D102" s="6">
        <f t="shared" ref="D102:F102" si="71">$G$102/4</f>
        <v>4786.5372660000003</v>
      </c>
      <c r="E102" s="6">
        <f t="shared" si="71"/>
        <v>4786.5372660000003</v>
      </c>
      <c r="F102" s="6">
        <f t="shared" si="71"/>
        <v>4786.5372660000003</v>
      </c>
      <c r="G102" s="6">
        <f>'Profit and Loss Statement'!G16</f>
        <v>19146.149064000001</v>
      </c>
    </row>
    <row r="103" spans="2:7">
      <c r="B103" s="33" t="str">
        <f t="shared" si="69"/>
        <v>Insurance Costs</v>
      </c>
      <c r="C103" s="6">
        <f>$G$103/4</f>
        <v>3003.6731249999998</v>
      </c>
      <c r="D103" s="6">
        <f t="shared" ref="D103:F103" si="72">$G$103/4</f>
        <v>3003.6731249999998</v>
      </c>
      <c r="E103" s="6">
        <f t="shared" si="72"/>
        <v>3003.6731249999998</v>
      </c>
      <c r="F103" s="6">
        <f t="shared" si="72"/>
        <v>3003.6731249999998</v>
      </c>
      <c r="G103" s="6">
        <f>'Profit and Loss Statement'!G17</f>
        <v>12014.692499999999</v>
      </c>
    </row>
    <row r="104" spans="2:7">
      <c r="B104" s="33" t="str">
        <f t="shared" si="69"/>
        <v>Marketing</v>
      </c>
      <c r="C104" s="6">
        <f>$G$104/4</f>
        <v>3778.8452100000004</v>
      </c>
      <c r="D104" s="6">
        <f t="shared" ref="D104:F104" si="73">$G$104/4</f>
        <v>3778.8452100000004</v>
      </c>
      <c r="E104" s="6">
        <f t="shared" si="73"/>
        <v>3778.8452100000004</v>
      </c>
      <c r="F104" s="6">
        <f t="shared" si="73"/>
        <v>3778.8452100000004</v>
      </c>
      <c r="G104" s="6">
        <f>'Profit and Loss Statement'!G18</f>
        <v>15115.380840000002</v>
      </c>
    </row>
    <row r="105" spans="2:7">
      <c r="B105" s="33" t="str">
        <f t="shared" si="69"/>
        <v>Professional Fees and Licensure</v>
      </c>
      <c r="C105" s="6">
        <f>$G$105/4</f>
        <v>2524.6181250000004</v>
      </c>
      <c r="D105" s="6">
        <f t="shared" ref="D105:F105" si="74">$G$105/4</f>
        <v>2524.6181250000004</v>
      </c>
      <c r="E105" s="6">
        <f t="shared" si="74"/>
        <v>2524.6181250000004</v>
      </c>
      <c r="F105" s="6">
        <f t="shared" si="74"/>
        <v>2524.6181250000004</v>
      </c>
      <c r="G105" s="6">
        <f>'Profit and Loss Statement'!G19</f>
        <v>10098.472500000002</v>
      </c>
    </row>
    <row r="106" spans="2:7">
      <c r="B106" s="29" t="s">
        <v>14</v>
      </c>
      <c r="C106" s="6">
        <f>$G$106/4</f>
        <v>7659.3664687499995</v>
      </c>
      <c r="D106" s="6">
        <f t="shared" ref="D106:F106" si="75">$G$106/4</f>
        <v>7659.3664687499995</v>
      </c>
      <c r="E106" s="6">
        <f t="shared" si="75"/>
        <v>7659.3664687499995</v>
      </c>
      <c r="F106" s="6">
        <f t="shared" si="75"/>
        <v>7659.3664687499995</v>
      </c>
      <c r="G106" s="6">
        <f>'Profit and Loss Statement'!G20</f>
        <v>30637.465874999998</v>
      </c>
    </row>
    <row r="107" spans="2:7">
      <c r="B107" s="28" t="s">
        <v>8</v>
      </c>
      <c r="C107" s="6">
        <f>SUM(C99:C106)</f>
        <v>130027.8936695</v>
      </c>
      <c r="D107" s="6">
        <f t="shared" ref="D107:F107" si="76">SUM(D99:D106)</f>
        <v>130027.8936695</v>
      </c>
      <c r="E107" s="6">
        <f t="shared" si="76"/>
        <v>130027.8936695</v>
      </c>
      <c r="F107" s="6">
        <f t="shared" si="76"/>
        <v>130027.8936695</v>
      </c>
      <c r="G107" s="6">
        <f>SUM(G99:G106)</f>
        <v>520111.574678</v>
      </c>
    </row>
    <row r="108" spans="2:7">
      <c r="B108" s="30"/>
    </row>
    <row r="109" spans="2:7">
      <c r="B109" s="24" t="s">
        <v>47</v>
      </c>
      <c r="C109" s="25">
        <f>C96-C107</f>
        <v>117396.49508050001</v>
      </c>
      <c r="D109" s="25">
        <f t="shared" ref="D109:G109" si="77">D96-D107</f>
        <v>117396.49508050001</v>
      </c>
      <c r="E109" s="25">
        <f t="shared" si="77"/>
        <v>117396.49508050001</v>
      </c>
      <c r="F109" s="25">
        <f t="shared" si="77"/>
        <v>117396.49508050001</v>
      </c>
      <c r="G109" s="25">
        <f t="shared" si="77"/>
        <v>469585.98032200005</v>
      </c>
    </row>
    <row r="110" spans="2:7">
      <c r="B110" s="29" t="s">
        <v>15</v>
      </c>
      <c r="C110" s="6">
        <f>$G$110*L92</f>
        <v>26636.549142099611</v>
      </c>
      <c r="D110" s="6">
        <f t="shared" ref="D110:F110" si="78">$G$110*M92</f>
        <v>26636.549142099611</v>
      </c>
      <c r="E110" s="6">
        <f t="shared" si="78"/>
        <v>26636.549142099611</v>
      </c>
      <c r="F110" s="6">
        <f t="shared" si="78"/>
        <v>26636.549142099611</v>
      </c>
      <c r="G110" s="6">
        <f>'Profit and Loss Statement'!G24</f>
        <v>106546.19656839845</v>
      </c>
    </row>
    <row r="111" spans="2:7">
      <c r="B111" s="29" t="s">
        <v>102</v>
      </c>
      <c r="C111" s="6">
        <f>$G$111*L92</f>
        <v>5327.3098284199223</v>
      </c>
      <c r="D111" s="6">
        <f t="shared" ref="D111:F111" si="79">$G$111*M92</f>
        <v>5327.3098284199223</v>
      </c>
      <c r="E111" s="6">
        <f t="shared" si="79"/>
        <v>5327.3098284199223</v>
      </c>
      <c r="F111" s="6">
        <f t="shared" si="79"/>
        <v>5327.3098284199223</v>
      </c>
      <c r="G111" s="6">
        <f>'Profit and Loss Statement'!G25</f>
        <v>21309.239313679689</v>
      </c>
    </row>
    <row r="112" spans="2:7">
      <c r="B112" s="29" t="s">
        <v>16</v>
      </c>
      <c r="C112" s="6">
        <f>SUM('Loan Amortization Table'!D38:D40)</f>
        <v>2957.4003459682262</v>
      </c>
      <c r="D112" s="6">
        <f>SUM('Loan Amortization Table'!D41:D43)</f>
        <v>2886.8308899037611</v>
      </c>
      <c r="E112" s="6">
        <f>SUM('Loan Amortization Table'!D44:D46)</f>
        <v>2815.0192503851499</v>
      </c>
      <c r="F112" s="6">
        <f>SUM('Loan Amortization Table'!D47:D49)</f>
        <v>2741.9435621491516</v>
      </c>
      <c r="G112" s="6">
        <f>'Profit and Loss Statement'!G26</f>
        <v>11401.194048406289</v>
      </c>
    </row>
    <row r="113" spans="2:15">
      <c r="B113" s="29" t="s">
        <v>54</v>
      </c>
      <c r="C113" s="6">
        <f>$G$113/4</f>
        <v>8000</v>
      </c>
      <c r="D113" s="6">
        <f>$G$113/4</f>
        <v>8000</v>
      </c>
      <c r="E113" s="6">
        <f>$G$113/4</f>
        <v>8000</v>
      </c>
      <c r="F113" s="6">
        <f>$G$113/4</f>
        <v>8000</v>
      </c>
      <c r="G113" s="6">
        <f>'Profit and Loss Statement'!G27</f>
        <v>32000</v>
      </c>
    </row>
    <row r="114" spans="2:15">
      <c r="B114" s="38" t="s">
        <v>17</v>
      </c>
      <c r="C114" s="39">
        <f>C109-SUM(C110:C113)</f>
        <v>74475.23576401225</v>
      </c>
      <c r="D114" s="39">
        <f t="shared" ref="D114:F114" si="80">D109-SUM(D110:D113)</f>
        <v>74545.805220076727</v>
      </c>
      <c r="E114" s="39">
        <f t="shared" si="80"/>
        <v>74617.61685959532</v>
      </c>
      <c r="F114" s="39">
        <f t="shared" si="80"/>
        <v>74690.692547831335</v>
      </c>
      <c r="G114" s="39">
        <f>'Profit and Loss Statement'!G28</f>
        <v>298329.35039151565</v>
      </c>
    </row>
    <row r="117" spans="2:15">
      <c r="B117" s="112"/>
      <c r="K117" s="112"/>
    </row>
    <row r="118" spans="2:15">
      <c r="C118" s="120"/>
      <c r="D118" s="120"/>
      <c r="E118" s="120"/>
      <c r="F118" s="120"/>
      <c r="G118" s="120"/>
      <c r="L118" s="120"/>
      <c r="M118" s="120"/>
      <c r="N118" s="120"/>
      <c r="O118" s="120"/>
    </row>
    <row r="119" spans="2:15">
      <c r="B119" s="124"/>
      <c r="C119" s="1"/>
      <c r="D119" s="1"/>
      <c r="E119" s="1"/>
      <c r="F119" s="1"/>
      <c r="G119" s="1"/>
      <c r="L119" s="126"/>
      <c r="M119" s="126"/>
      <c r="N119" s="126"/>
      <c r="O119" s="126"/>
    </row>
    <row r="120" spans="2:15">
      <c r="C120" s="1"/>
      <c r="D120" s="1"/>
      <c r="E120" s="1"/>
      <c r="F120" s="1"/>
      <c r="G120" s="1"/>
    </row>
    <row r="121" spans="2:15">
      <c r="C121" s="125"/>
      <c r="D121" s="125"/>
      <c r="E121" s="125"/>
      <c r="F121" s="125"/>
      <c r="G121" s="125"/>
    </row>
    <row r="123" spans="2:15">
      <c r="B123" s="124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4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4"/>
      <c r="C136" s="123"/>
      <c r="D136" s="123"/>
      <c r="E136" s="123"/>
      <c r="F136" s="123"/>
      <c r="G136" s="123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4"/>
      <c r="C141" s="123"/>
      <c r="D141" s="123"/>
      <c r="E141" s="123"/>
      <c r="F141" s="123"/>
      <c r="G141" s="123"/>
    </row>
    <row r="144" spans="2:11">
      <c r="B144" s="112"/>
      <c r="K144" s="112"/>
    </row>
    <row r="145" spans="2:15">
      <c r="C145" s="120"/>
      <c r="D145" s="120"/>
      <c r="E145" s="120"/>
      <c r="F145" s="120"/>
      <c r="G145" s="120"/>
      <c r="L145" s="120"/>
      <c r="M145" s="120"/>
      <c r="N145" s="120"/>
      <c r="O145" s="120"/>
    </row>
    <row r="146" spans="2:15">
      <c r="B146" s="124"/>
      <c r="C146" s="1"/>
      <c r="D146" s="1"/>
      <c r="E146" s="1"/>
      <c r="F146" s="1"/>
      <c r="G146" s="1"/>
      <c r="L146" s="126"/>
      <c r="M146" s="126"/>
      <c r="N146" s="126"/>
      <c r="O146" s="126"/>
    </row>
    <row r="147" spans="2:15">
      <c r="C147" s="1"/>
      <c r="D147" s="1"/>
      <c r="E147" s="1"/>
      <c r="F147" s="1"/>
      <c r="G147" s="1"/>
    </row>
    <row r="148" spans="2:15">
      <c r="C148" s="125"/>
      <c r="D148" s="125"/>
      <c r="E148" s="125"/>
      <c r="F148" s="125"/>
      <c r="G148" s="125"/>
    </row>
    <row r="150" spans="2:15">
      <c r="B150" s="124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4"/>
      <c r="C161" s="1"/>
      <c r="D161" s="1"/>
      <c r="E161" s="1"/>
      <c r="F161" s="1"/>
      <c r="G161" s="1"/>
    </row>
    <row r="163" spans="2:7">
      <c r="B163" s="124"/>
      <c r="C163" s="123"/>
      <c r="D163" s="123"/>
      <c r="E163" s="123"/>
      <c r="F163" s="123"/>
      <c r="G163" s="123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4"/>
      <c r="C168" s="123"/>
      <c r="D168" s="123"/>
      <c r="E168" s="123"/>
      <c r="F168" s="123"/>
      <c r="G168" s="123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V8" sqref="V8"/>
    </sheetView>
  </sheetViews>
  <sheetFormatPr defaultRowHeight="15"/>
  <cols>
    <col min="3" max="3" width="27.5703125" customWidth="1"/>
    <col min="4" max="8" width="8.5703125" bestFit="1" customWidth="1"/>
    <col min="9" max="9" width="9.28515625" bestFit="1" customWidth="1"/>
    <col min="10" max="10" width="7.57031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7918.1426964870334</v>
      </c>
      <c r="E6" s="13">
        <f>'Expanded Profit and Loss'!D28+'Expanded Profit and Loss'!D27</f>
        <v>7940.242994232246</v>
      </c>
      <c r="F6" s="13">
        <f>'Expanded Profit and Loss'!E28+'Expanded Profit and Loss'!E27</f>
        <v>7962.3826111739636</v>
      </c>
      <c r="G6" s="13">
        <f>'Expanded Profit and Loss'!F28+'Expanded Profit and Loss'!F27</f>
        <v>7984.5617766741652</v>
      </c>
      <c r="H6" s="13">
        <f>'Expanded Profit and Loss'!G28+'Expanded Profit and Loss'!G27</f>
        <v>8006.7807214327768</v>
      </c>
      <c r="I6" s="13">
        <f>'Expanded Profit and Loss'!H28+'Expanded Profit and Loss'!H27</f>
        <v>8029.0396774954725</v>
      </c>
      <c r="J6" s="13">
        <f>'Expanded Profit and Loss'!I28+'Expanded Profit and Loss'!I27</f>
        <v>8051.3388782615248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45000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200000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791.75</v>
      </c>
      <c r="E11" s="13">
        <f t="shared" ref="E11:J11" si="1">$I$36/12</f>
        <v>791.75</v>
      </c>
      <c r="F11" s="13">
        <f t="shared" si="1"/>
        <v>791.75</v>
      </c>
      <c r="G11" s="13">
        <f t="shared" si="1"/>
        <v>791.75</v>
      </c>
      <c r="H11" s="13">
        <f t="shared" si="1"/>
        <v>791.75</v>
      </c>
      <c r="I11" s="13">
        <f t="shared" si="1"/>
        <v>791.75</v>
      </c>
      <c r="J11" s="13">
        <f t="shared" si="1"/>
        <v>791.75</v>
      </c>
    </row>
    <row r="12" spans="3:10">
      <c r="C12" s="37" t="s">
        <v>23</v>
      </c>
      <c r="D12" s="26">
        <f>SUM(D9:D11)</f>
        <v>245791.75</v>
      </c>
      <c r="E12" s="26">
        <f t="shared" ref="E12:J12" si="2">SUM(E9:E11)</f>
        <v>791.75</v>
      </c>
      <c r="F12" s="26">
        <f t="shared" si="2"/>
        <v>791.75</v>
      </c>
      <c r="G12" s="26">
        <f t="shared" si="2"/>
        <v>791.75</v>
      </c>
      <c r="H12" s="26">
        <f t="shared" si="2"/>
        <v>791.75</v>
      </c>
      <c r="I12" s="26">
        <f t="shared" si="2"/>
        <v>791.75</v>
      </c>
      <c r="J12" s="26">
        <f t="shared" si="2"/>
        <v>791.75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253709.89269648702</v>
      </c>
      <c r="E15" s="27">
        <f t="shared" ref="E15:J15" si="3">E6+E12</f>
        <v>8731.9929942322451</v>
      </c>
      <c r="F15" s="27">
        <f t="shared" si="3"/>
        <v>8754.1326111739636</v>
      </c>
      <c r="G15" s="27">
        <f t="shared" si="3"/>
        <v>8776.3117766741652</v>
      </c>
      <c r="H15" s="27">
        <f t="shared" si="3"/>
        <v>8798.5307214327768</v>
      </c>
      <c r="I15" s="27">
        <f t="shared" si="3"/>
        <v>8820.7896774954716</v>
      </c>
      <c r="J15" s="27">
        <f t="shared" si="3"/>
        <v>8843.0888782615257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1155.5029177058148</v>
      </c>
      <c r="E18" s="6">
        <f>'Loan Amortization Table'!C15</f>
        <v>1162.243351392432</v>
      </c>
      <c r="F18" s="6">
        <f>'Loan Amortization Table'!C16</f>
        <v>1169.0231042755545</v>
      </c>
      <c r="G18" s="6">
        <f>'Loan Amortization Table'!C17</f>
        <v>1175.8424057171617</v>
      </c>
      <c r="H18" s="6">
        <f>'Loan Amortization Table'!C18</f>
        <v>1182.7014864171786</v>
      </c>
      <c r="I18" s="6">
        <f>'Loan Amortization Table'!C19</f>
        <v>1189.6005784212787</v>
      </c>
      <c r="J18" s="6">
        <f>'Loan Amortization Table'!C20</f>
        <v>1196.5399151287363</v>
      </c>
    </row>
    <row r="19" spans="3:10">
      <c r="C19" s="12" t="s">
        <v>25</v>
      </c>
      <c r="D19" s="13">
        <f>$I$44/12</f>
        <v>554.22500000000002</v>
      </c>
      <c r="E19" s="13">
        <f t="shared" ref="E19:J19" si="4">$I$44/12</f>
        <v>554.22500000000002</v>
      </c>
      <c r="F19" s="13">
        <f t="shared" si="4"/>
        <v>554.22500000000002</v>
      </c>
      <c r="G19" s="13">
        <f t="shared" si="4"/>
        <v>554.22500000000002</v>
      </c>
      <c r="H19" s="13">
        <f t="shared" si="4"/>
        <v>554.22500000000002</v>
      </c>
      <c r="I19" s="13">
        <f t="shared" si="4"/>
        <v>554.22500000000002</v>
      </c>
      <c r="J19" s="13">
        <f t="shared" si="4"/>
        <v>554.22500000000002</v>
      </c>
    </row>
    <row r="20" spans="3:10">
      <c r="C20" s="31" t="s">
        <v>33</v>
      </c>
      <c r="D20" s="6">
        <f>I45</f>
        <v>221000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222709.72791770581</v>
      </c>
      <c r="E22" s="26">
        <f t="shared" ref="E22:J22" si="5">SUM(E18:E21)</f>
        <v>1716.4683513924319</v>
      </c>
      <c r="F22" s="26">
        <f t="shared" si="5"/>
        <v>1723.2481042755544</v>
      </c>
      <c r="G22" s="26">
        <f t="shared" si="5"/>
        <v>1730.0674057171618</v>
      </c>
      <c r="H22" s="26">
        <f t="shared" si="5"/>
        <v>1736.9264864171787</v>
      </c>
      <c r="I22" s="26">
        <f t="shared" si="5"/>
        <v>1743.8255784212788</v>
      </c>
      <c r="J22" s="26">
        <f t="shared" si="5"/>
        <v>1750.7649151287364</v>
      </c>
    </row>
    <row r="23" spans="3:10">
      <c r="C23" s="30"/>
    </row>
    <row r="24" spans="3:10">
      <c r="C24" s="42" t="s">
        <v>27</v>
      </c>
      <c r="D24" s="25">
        <f>D15-D22</f>
        <v>31000.164778781211</v>
      </c>
      <c r="E24" s="25">
        <f t="shared" ref="E24:J24" si="6">E15-E22</f>
        <v>7015.5246428398132</v>
      </c>
      <c r="F24" s="25">
        <f t="shared" si="6"/>
        <v>7030.8845068984092</v>
      </c>
      <c r="G24" s="25">
        <f t="shared" si="6"/>
        <v>7046.2443709570034</v>
      </c>
      <c r="H24" s="25">
        <f t="shared" si="6"/>
        <v>7061.6042350155985</v>
      </c>
      <c r="I24" s="25">
        <f t="shared" si="6"/>
        <v>7076.9640990741927</v>
      </c>
      <c r="J24" s="25">
        <f t="shared" si="6"/>
        <v>7092.3239631327888</v>
      </c>
    </row>
    <row r="25" spans="3:10">
      <c r="C25" s="42" t="s">
        <v>6</v>
      </c>
      <c r="D25" s="25">
        <f>D24</f>
        <v>31000.164778781211</v>
      </c>
      <c r="E25" s="25">
        <f>D25+E24</f>
        <v>38015.68942162102</v>
      </c>
      <c r="F25" s="25">
        <f t="shared" ref="F25:J25" si="7">E25+F24</f>
        <v>45046.573928519429</v>
      </c>
      <c r="G25" s="25">
        <f t="shared" si="7"/>
        <v>52092.818299476436</v>
      </c>
      <c r="H25" s="25">
        <f t="shared" si="7"/>
        <v>59154.422534492034</v>
      </c>
      <c r="I25" s="25">
        <f t="shared" si="7"/>
        <v>66231.386633566231</v>
      </c>
      <c r="J25" s="25">
        <f t="shared" si="7"/>
        <v>73323.71059669902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8073.6785584917034</v>
      </c>
      <c r="E31" s="13">
        <f>'Expanded Profit and Loss'!D56+'Expanded Profit and Loss'!D55</f>
        <v>8096.0589543162159</v>
      </c>
      <c r="F31" s="13">
        <f>'Expanded Profit and Loss'!E56+'Expanded Profit and Loss'!E55</f>
        <v>8118.4803032426971</v>
      </c>
      <c r="G31" s="13">
        <f>'Expanded Profit and Loss'!F56+'Expanded Profit and Loss'!F55</f>
        <v>8140.9428441642413</v>
      </c>
      <c r="H31" s="13">
        <f>'Expanded Profit and Loss'!G56+'Expanded Profit and Loss'!G55</f>
        <v>8163.4468173674859</v>
      </c>
      <c r="I31" s="13">
        <f>'Cash Flow Analysis'!E6</f>
        <v>96485.096833339514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45000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200000</v>
      </c>
      <c r="J35" s="30"/>
    </row>
    <row r="36" spans="3:10">
      <c r="C36" s="12" t="s">
        <v>22</v>
      </c>
      <c r="D36" s="13">
        <f>$I$36/12</f>
        <v>791.75</v>
      </c>
      <c r="E36" s="13">
        <f t="shared" ref="E36:H36" si="11">$I$36/12</f>
        <v>791.75</v>
      </c>
      <c r="F36" s="13">
        <f t="shared" si="11"/>
        <v>791.75</v>
      </c>
      <c r="G36" s="13">
        <f t="shared" si="11"/>
        <v>791.75</v>
      </c>
      <c r="H36" s="13">
        <f t="shared" si="11"/>
        <v>791.75</v>
      </c>
      <c r="I36" s="20">
        <f>'Cash Flow Analysis'!E11</f>
        <v>9501</v>
      </c>
      <c r="J36" s="30"/>
    </row>
    <row r="37" spans="3:10">
      <c r="C37" s="37" t="s">
        <v>23</v>
      </c>
      <c r="D37" s="26">
        <f>SUM(D34:D36)</f>
        <v>791.75</v>
      </c>
      <c r="E37" s="26">
        <f t="shared" ref="E37:H37" si="12">SUM(E34:E36)</f>
        <v>791.75</v>
      </c>
      <c r="F37" s="26">
        <f t="shared" si="12"/>
        <v>791.75</v>
      </c>
      <c r="G37" s="26">
        <f t="shared" si="12"/>
        <v>791.75</v>
      </c>
      <c r="H37" s="26">
        <f t="shared" si="12"/>
        <v>791.75</v>
      </c>
      <c r="I37" s="44">
        <f>'Cash Flow Analysis'!E12</f>
        <v>254501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8865.4285584917034</v>
      </c>
      <c r="E40" s="27">
        <f t="shared" ref="E40:H40" si="13">E31+E37</f>
        <v>8887.8089543162168</v>
      </c>
      <c r="F40" s="27">
        <f t="shared" si="13"/>
        <v>8910.2303032426971</v>
      </c>
      <c r="G40" s="27">
        <f t="shared" si="13"/>
        <v>8932.6928441642413</v>
      </c>
      <c r="H40" s="27">
        <f t="shared" si="13"/>
        <v>8955.1968173674868</v>
      </c>
      <c r="I40" s="36">
        <f>'Cash Flow Analysis'!E15</f>
        <v>350986.09683333954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1203.5197313003205</v>
      </c>
      <c r="E43" s="6">
        <f>'Loan Amortization Table'!C22</f>
        <v>1210.540263066239</v>
      </c>
      <c r="F43" s="6">
        <f>'Loan Amortization Table'!C23</f>
        <v>1217.6017479341256</v>
      </c>
      <c r="G43" s="6">
        <f>'Loan Amortization Table'!C24</f>
        <v>1224.7044247970746</v>
      </c>
      <c r="H43" s="6">
        <f>'Loan Amortization Table'!C25</f>
        <v>1231.8485339417241</v>
      </c>
      <c r="I43" s="6">
        <f>'Cash Flow Analysis'!E18</f>
        <v>14319.668460097642</v>
      </c>
      <c r="J43" s="30"/>
    </row>
    <row r="44" spans="3:10">
      <c r="C44" s="12" t="s">
        <v>25</v>
      </c>
      <c r="D44" s="13">
        <f>$I$44/12</f>
        <v>554.22500000000002</v>
      </c>
      <c r="E44" s="13">
        <f t="shared" ref="E44:H44" si="14">$I$44/12</f>
        <v>554.22500000000002</v>
      </c>
      <c r="F44" s="13">
        <f t="shared" si="14"/>
        <v>554.22500000000002</v>
      </c>
      <c r="G44" s="13">
        <f t="shared" si="14"/>
        <v>554.22500000000002</v>
      </c>
      <c r="H44" s="13">
        <f t="shared" si="14"/>
        <v>554.22500000000002</v>
      </c>
      <c r="I44" s="13">
        <f>'Cash Flow Analysis'!E19</f>
        <v>6650.7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221000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0</v>
      </c>
      <c r="I46" s="13">
        <f>'Cash Flow Analysis'!E21</f>
        <v>0</v>
      </c>
      <c r="J46" s="30"/>
    </row>
    <row r="47" spans="3:10">
      <c r="C47" s="37" t="s">
        <v>26</v>
      </c>
      <c r="D47" s="26">
        <f>SUM(D43:D46)</f>
        <v>1757.7447313003204</v>
      </c>
      <c r="E47" s="26">
        <f t="shared" ref="E47:H47" si="15">SUM(E43:E46)</f>
        <v>1764.7652630662392</v>
      </c>
      <c r="F47" s="26">
        <f t="shared" si="15"/>
        <v>1771.8267479341257</v>
      </c>
      <c r="G47" s="26">
        <f t="shared" si="15"/>
        <v>1778.9294247970747</v>
      </c>
      <c r="H47" s="26">
        <f t="shared" si="15"/>
        <v>1786.0735339417242</v>
      </c>
      <c r="I47" s="26">
        <f>'Cash Flow Analysis'!E22</f>
        <v>241970.36846009764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7107.683827191383</v>
      </c>
      <c r="E49" s="25">
        <f t="shared" ref="E49:H49" si="16">E40-E47</f>
        <v>7123.0436912499772</v>
      </c>
      <c r="F49" s="25">
        <f t="shared" si="16"/>
        <v>7138.4035553085714</v>
      </c>
      <c r="G49" s="25">
        <f t="shared" si="16"/>
        <v>7153.7634193671665</v>
      </c>
      <c r="H49" s="25">
        <f t="shared" si="16"/>
        <v>7169.1232834257626</v>
      </c>
      <c r="I49" s="45">
        <f>'Cash Flow Analysis'!E24</f>
        <v>109015.7283732419</v>
      </c>
      <c r="J49" s="30"/>
    </row>
    <row r="50" spans="3:10">
      <c r="C50" s="42" t="s">
        <v>6</v>
      </c>
      <c r="D50" s="25">
        <f>J25+D49</f>
        <v>80431.394423890408</v>
      </c>
      <c r="E50" s="25">
        <f>D50+E49</f>
        <v>87554.43811514038</v>
      </c>
      <c r="F50" s="25">
        <f t="shared" ref="F50:H50" si="17">E50+F49</f>
        <v>94692.84167044895</v>
      </c>
      <c r="G50" s="25">
        <f t="shared" si="17"/>
        <v>101846.60508981612</v>
      </c>
      <c r="H50" s="25">
        <f t="shared" si="17"/>
        <v>109015.72837324189</v>
      </c>
      <c r="I50" s="45">
        <f>'Cash Flow Analysis'!E25</f>
        <v>109015.7283732419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53815.510922301386</v>
      </c>
      <c r="E58" s="48">
        <f>'Expanded Profit and Loss'!D84+'Expanded Profit and Loss'!D83</f>
        <v>53881.322830221041</v>
      </c>
      <c r="F58" s="48">
        <f>'Expanded Profit and Loss'!E84+'Expanded Profit and Loss'!E83</f>
        <v>53948.293177891581</v>
      </c>
      <c r="G58" s="48">
        <f>'Expanded Profit and Loss'!F84+'Expanded Profit and Loss'!F83</f>
        <v>54016.44235649598</v>
      </c>
      <c r="H58" s="46">
        <f>'Cash Flow Analysis'!F6</f>
        <v>215661.56928691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2422.7550000000001</v>
      </c>
      <c r="E63" s="49">
        <f>$H$63/4</f>
        <v>2422.7550000000001</v>
      </c>
      <c r="F63" s="49">
        <f>$H$63/4</f>
        <v>2422.7550000000001</v>
      </c>
      <c r="G63" s="49">
        <f>$H$63/4</f>
        <v>2422.7550000000001</v>
      </c>
      <c r="H63" s="13">
        <f>'Cash Flow Analysis'!F11</f>
        <v>9691.02</v>
      </c>
    </row>
    <row r="64" spans="3:10">
      <c r="C64" s="37" t="s">
        <v>23</v>
      </c>
      <c r="D64" s="51">
        <f>SUM(D61:D63)</f>
        <v>2422.7550000000001</v>
      </c>
      <c r="E64" s="51">
        <f t="shared" ref="E64:G64" si="18">SUM(E61:E63)</f>
        <v>2422.7550000000001</v>
      </c>
      <c r="F64" s="51">
        <f t="shared" si="18"/>
        <v>2422.7550000000001</v>
      </c>
      <c r="G64" s="51">
        <f t="shared" si="18"/>
        <v>2422.7550000000001</v>
      </c>
      <c r="H64" s="32">
        <f>'Cash Flow Analysis'!F12</f>
        <v>9691.02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56238.265922301383</v>
      </c>
      <c r="E67" s="48">
        <f t="shared" ref="E67:G67" si="19">E58+E64</f>
        <v>56304.077830221038</v>
      </c>
      <c r="F67" s="48">
        <f t="shared" si="19"/>
        <v>56371.048177891578</v>
      </c>
      <c r="G67" s="48">
        <f t="shared" si="19"/>
        <v>56439.197356495977</v>
      </c>
      <c r="H67" s="27">
        <f>'Cash Flow Analysis'!F15</f>
        <v>225352.58928690999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3738.8282133020393</v>
      </c>
      <c r="E70" s="50">
        <f>SUM('Loan Amortization Table'!C29:C31)</f>
        <v>3804.6401212216906</v>
      </c>
      <c r="F70" s="50">
        <f>SUM('Loan Amortization Table'!C32:C34)</f>
        <v>3871.6104688922278</v>
      </c>
      <c r="G70" s="50">
        <f>SUM('Loan Amortization Table'!C35:C37)</f>
        <v>3939.7596474966281</v>
      </c>
      <c r="H70" s="32">
        <f>'Cash Flow Analysis'!F18</f>
        <v>15354.838450912586</v>
      </c>
    </row>
    <row r="71" spans="3:8">
      <c r="C71" s="12" t="s">
        <v>25</v>
      </c>
      <c r="D71" s="49">
        <f>$H$71/4</f>
        <v>1695.9285</v>
      </c>
      <c r="E71" s="49">
        <f>$H$71/4</f>
        <v>1695.9285</v>
      </c>
      <c r="F71" s="49">
        <f>$H$71/4</f>
        <v>1695.9285</v>
      </c>
      <c r="G71" s="49">
        <f>$H$71/4</f>
        <v>1695.9285</v>
      </c>
      <c r="H71" s="13">
        <f>'Cash Flow Analysis'!F19</f>
        <v>6783.7139999999999</v>
      </c>
    </row>
    <row r="72" spans="3:8">
      <c r="C72" s="31" t="s">
        <v>33</v>
      </c>
      <c r="D72" s="50">
        <f>H72</f>
        <v>85000</v>
      </c>
      <c r="E72" s="50">
        <v>0</v>
      </c>
      <c r="F72" s="50">
        <v>0</v>
      </c>
      <c r="G72" s="50">
        <v>0</v>
      </c>
      <c r="H72" s="32">
        <f>'Cash Flow Analysis'!F20</f>
        <v>85000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10000</v>
      </c>
      <c r="H73" s="13">
        <f>'Cash Flow Analysis'!F21</f>
        <v>10000</v>
      </c>
    </row>
    <row r="74" spans="3:8">
      <c r="C74" s="37" t="s">
        <v>26</v>
      </c>
      <c r="D74" s="51">
        <f>SUM(D70:D73)</f>
        <v>90434.756713302035</v>
      </c>
      <c r="E74" s="51">
        <f t="shared" ref="E74:G74" si="20">SUM(E70:E73)</f>
        <v>5500.5686212216906</v>
      </c>
      <c r="F74" s="51">
        <f t="shared" si="20"/>
        <v>5567.5389688922278</v>
      </c>
      <c r="G74" s="51">
        <f t="shared" si="20"/>
        <v>15635.688147496629</v>
      </c>
      <c r="H74" s="34">
        <f>'Cash Flow Analysis'!F22</f>
        <v>117138.55245091258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-34196.490791000651</v>
      </c>
      <c r="E76" s="52">
        <f t="shared" ref="E76:G76" si="21">E67-E74</f>
        <v>50803.509208999349</v>
      </c>
      <c r="F76" s="52">
        <f t="shared" si="21"/>
        <v>50803.509208999349</v>
      </c>
      <c r="G76" s="52">
        <f t="shared" si="21"/>
        <v>40803.509208999349</v>
      </c>
      <c r="H76" s="40">
        <f>'Cash Flow Analysis'!F24</f>
        <v>108214.03683599741</v>
      </c>
    </row>
    <row r="77" spans="3:8">
      <c r="C77" s="42" t="s">
        <v>6</v>
      </c>
      <c r="D77" s="52">
        <f>I50+D76</f>
        <v>74819.237582241243</v>
      </c>
      <c r="E77" s="52">
        <f>D77+E76</f>
        <v>125622.74679124058</v>
      </c>
      <c r="F77" s="52">
        <f t="shared" ref="F77:G77" si="22">E77+F76</f>
        <v>176426.25600023993</v>
      </c>
      <c r="G77" s="52">
        <f t="shared" si="22"/>
        <v>217229.76520923927</v>
      </c>
      <c r="H77" s="40">
        <f>'Cash Flow Analysis'!F25</f>
        <v>217229.76520923933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82475.23576401225</v>
      </c>
      <c r="E84" s="48">
        <f>'Expanded Profit and Loss'!D114+'Expanded Profit and Loss'!D113</f>
        <v>82545.805220076727</v>
      </c>
      <c r="F84" s="48">
        <f>'Expanded Profit and Loss'!E114+'Expanded Profit and Loss'!E113</f>
        <v>82617.61685959532</v>
      </c>
      <c r="G84" s="48">
        <f>'Expanded Profit and Loss'!F114+'Expanded Profit and Loss'!F113</f>
        <v>82690.692547831335</v>
      </c>
      <c r="H84" s="27">
        <f>'Cash Flow Analysis'!G6</f>
        <v>330329.35039151565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2471.2101000000002</v>
      </c>
      <c r="E89" s="49">
        <f>$H$89/4</f>
        <v>2471.2101000000002</v>
      </c>
      <c r="F89" s="49">
        <f>$H$89/4</f>
        <v>2471.2101000000002</v>
      </c>
      <c r="G89" s="49">
        <f>$H$89/4</f>
        <v>2471.2101000000002</v>
      </c>
      <c r="H89" s="13">
        <f>'Cash Flow Analysis'!G12</f>
        <v>9884.840400000001</v>
      </c>
    </row>
    <row r="90" spans="3:8">
      <c r="C90" s="37" t="s">
        <v>23</v>
      </c>
      <c r="D90" s="51">
        <f>SUM(D87:D89)</f>
        <v>2471.2101000000002</v>
      </c>
      <c r="E90" s="51">
        <f t="shared" ref="E90:G90" si="23">SUM(E87:E89)</f>
        <v>2471.2101000000002</v>
      </c>
      <c r="F90" s="51">
        <f t="shared" si="23"/>
        <v>2471.2101000000002</v>
      </c>
      <c r="G90" s="51">
        <f t="shared" si="23"/>
        <v>2471.2101000000002</v>
      </c>
      <c r="H90" s="34">
        <f>'Cash Flow Analysis'!G12</f>
        <v>9884.840400000001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84946.445864012247</v>
      </c>
      <c r="E93" s="48">
        <f t="shared" ref="E93:G93" si="24">E90+E84</f>
        <v>85017.015320076724</v>
      </c>
      <c r="F93" s="48">
        <f t="shared" si="24"/>
        <v>85088.826959595317</v>
      </c>
      <c r="G93" s="48">
        <f t="shared" si="24"/>
        <v>85161.902647831332</v>
      </c>
      <c r="H93" s="27">
        <f>'Cash Flow Analysis'!G15</f>
        <v>340214.19079151563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4009.1084071492178</v>
      </c>
      <c r="E96" s="50">
        <f>SUM('Loan Amortization Table'!C41:C43)</f>
        <v>4079.6778632136838</v>
      </c>
      <c r="F96" s="50">
        <f>SUM('Loan Amortization Table'!C44:C46)</f>
        <v>4151.4895027322946</v>
      </c>
      <c r="G96" s="50">
        <f>SUM('Loan Amortization Table'!C47:C49)</f>
        <v>4224.5651909682929</v>
      </c>
      <c r="H96" s="32">
        <f>'Cash Flow Analysis'!G18</f>
        <v>16464.840964063489</v>
      </c>
    </row>
    <row r="97" spans="3:8">
      <c r="C97" s="12" t="s">
        <v>25</v>
      </c>
      <c r="D97" s="49">
        <f>$H$97/4</f>
        <v>1729.84707</v>
      </c>
      <c r="E97" s="49">
        <f t="shared" ref="E97:G97" si="25">$H$97/4</f>
        <v>1729.84707</v>
      </c>
      <c r="F97" s="49">
        <f t="shared" si="25"/>
        <v>1729.84707</v>
      </c>
      <c r="G97" s="49">
        <f t="shared" si="25"/>
        <v>1729.84707</v>
      </c>
      <c r="H97" s="13">
        <f>'Cash Flow Analysis'!G19</f>
        <v>6919.3882800000001</v>
      </c>
    </row>
    <row r="98" spans="3:8">
      <c r="C98" s="31" t="s">
        <v>33</v>
      </c>
      <c r="D98" s="50">
        <f>H98</f>
        <v>85000</v>
      </c>
      <c r="E98" s="50">
        <v>0</v>
      </c>
      <c r="F98" s="50">
        <v>0</v>
      </c>
      <c r="G98" s="50">
        <v>0</v>
      </c>
      <c r="H98" s="32">
        <f>'Cash Flow Analysis'!G20</f>
        <v>85000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25000</v>
      </c>
      <c r="H99" s="13">
        <f>'Cash Flow Analysis'!G21</f>
        <v>25000</v>
      </c>
    </row>
    <row r="100" spans="3:8">
      <c r="C100" s="37" t="s">
        <v>26</v>
      </c>
      <c r="D100" s="51">
        <f>SUM(D96:D99)</f>
        <v>90738.955477149211</v>
      </c>
      <c r="E100" s="51">
        <f t="shared" ref="E100:G100" si="26">SUM(E96:E99)</f>
        <v>5809.5249332136837</v>
      </c>
      <c r="F100" s="51">
        <f t="shared" si="26"/>
        <v>5881.3365727322944</v>
      </c>
      <c r="G100" s="51">
        <f t="shared" si="26"/>
        <v>30954.412260968293</v>
      </c>
      <c r="H100" s="34">
        <f>'Cash Flow Analysis'!G22</f>
        <v>133384.22924406349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-5792.5096131369646</v>
      </c>
      <c r="E102" s="52">
        <f t="shared" ref="E102:G102" si="27">E93-E100</f>
        <v>79207.490386863035</v>
      </c>
      <c r="F102" s="52">
        <f t="shared" si="27"/>
        <v>79207.490386863021</v>
      </c>
      <c r="G102" s="52">
        <f t="shared" si="27"/>
        <v>54207.490386863035</v>
      </c>
      <c r="H102" s="40">
        <f>'Cash Flow Analysis'!G24</f>
        <v>206829.96154745214</v>
      </c>
    </row>
    <row r="103" spans="3:8">
      <c r="C103" s="42" t="s">
        <v>6</v>
      </c>
      <c r="D103" s="52">
        <f>G77+D102</f>
        <v>211437.2555961023</v>
      </c>
      <c r="E103" s="52">
        <f>D103+E102</f>
        <v>290644.74598296534</v>
      </c>
      <c r="F103" s="52">
        <f t="shared" ref="F103:G103" si="28">E103+F102</f>
        <v>369852.23636982834</v>
      </c>
      <c r="G103" s="52">
        <f t="shared" si="28"/>
        <v>424059.72675669135</v>
      </c>
      <c r="H103" s="40">
        <f>'Cash Flow Analysis'!G25</f>
        <v>424059.72675669147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20"/>
      <c r="E107" s="120"/>
      <c r="F107" s="120"/>
      <c r="G107" s="120"/>
      <c r="H107" s="120"/>
    </row>
    <row r="108" spans="3:8">
      <c r="C108" s="124"/>
      <c r="D108" s="123"/>
      <c r="E108" s="123"/>
      <c r="F108" s="123"/>
      <c r="G108" s="123"/>
      <c r="H108" s="123"/>
    </row>
    <row r="110" spans="3:8">
      <c r="C110" s="124"/>
      <c r="D110" s="124"/>
      <c r="E110" s="124"/>
      <c r="F110" s="124"/>
      <c r="G110" s="124"/>
      <c r="H110" s="124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4"/>
      <c r="D114" s="123"/>
      <c r="E114" s="123"/>
      <c r="F114" s="123"/>
      <c r="G114" s="123"/>
      <c r="H114" s="123"/>
    </row>
    <row r="117" spans="3:10">
      <c r="C117" s="124"/>
      <c r="D117" s="123"/>
      <c r="E117" s="123"/>
      <c r="F117" s="123"/>
      <c r="G117" s="123"/>
      <c r="H117" s="123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4"/>
      <c r="D124" s="123"/>
      <c r="E124" s="123"/>
      <c r="F124" s="123"/>
      <c r="G124" s="123"/>
      <c r="H124" s="123"/>
    </row>
    <row r="126" spans="3:10">
      <c r="C126" s="124"/>
      <c r="D126" s="123"/>
      <c r="E126" s="123"/>
      <c r="F126" s="123"/>
      <c r="G126" s="123"/>
      <c r="H126" s="123"/>
    </row>
    <row r="127" spans="3:10">
      <c r="C127" s="124"/>
      <c r="D127" s="123"/>
      <c r="E127" s="123"/>
      <c r="F127" s="123"/>
      <c r="G127" s="123"/>
      <c r="H127" s="123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20"/>
      <c r="E131" s="120"/>
      <c r="F131" s="120"/>
      <c r="G131" s="120"/>
      <c r="H131" s="120"/>
    </row>
    <row r="132" spans="3:8">
      <c r="C132" s="124"/>
      <c r="D132" s="123"/>
      <c r="E132" s="123"/>
      <c r="F132" s="123"/>
      <c r="G132" s="123"/>
      <c r="H132" s="123"/>
    </row>
    <row r="134" spans="3:8">
      <c r="C134" s="124"/>
      <c r="D134" s="124"/>
      <c r="E134" s="124"/>
      <c r="F134" s="124"/>
      <c r="G134" s="124"/>
      <c r="H134" s="124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4"/>
      <c r="D138" s="123"/>
      <c r="E138" s="123"/>
      <c r="F138" s="123"/>
      <c r="G138" s="123"/>
      <c r="H138" s="123"/>
    </row>
    <row r="141" spans="3:8">
      <c r="C141" s="124"/>
      <c r="D141" s="123"/>
      <c r="E141" s="123"/>
      <c r="F141" s="123"/>
      <c r="G141" s="123"/>
      <c r="H141" s="123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4"/>
      <c r="D148" s="123"/>
      <c r="E148" s="123"/>
      <c r="F148" s="123"/>
      <c r="G148" s="123"/>
      <c r="H148" s="123"/>
    </row>
    <row r="150" spans="3:8">
      <c r="C150" s="124"/>
      <c r="D150" s="123"/>
      <c r="E150" s="123"/>
      <c r="F150" s="123"/>
      <c r="G150" s="123"/>
      <c r="H150" s="123"/>
    </row>
    <row r="151" spans="3:8">
      <c r="C151" s="124"/>
      <c r="D151" s="123"/>
      <c r="E151" s="123"/>
      <c r="F151" s="123"/>
      <c r="G151" s="123"/>
      <c r="H151" s="12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2025-10-07T14:24:43Z</dcterms:modified>
</cp:coreProperties>
</file>