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Exotic Car\"/>
    </mc:Choice>
  </mc:AlternateContent>
  <xr:revisionPtr revIDLastSave="0" documentId="13_ncr:1_{4343C940-31C1-4663-9339-15EB2582623D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7" l="1"/>
  <c r="M36" i="7"/>
  <c r="L37" i="7"/>
  <c r="M37" i="7"/>
  <c r="L38" i="7"/>
  <c r="M38" i="7"/>
  <c r="L39" i="7"/>
  <c r="M39" i="7"/>
  <c r="L40" i="7"/>
  <c r="M40" i="7"/>
  <c r="B25" i="7"/>
  <c r="B26" i="7"/>
  <c r="B27" i="7"/>
  <c r="B28" i="7"/>
  <c r="B29" i="7"/>
  <c r="G11" i="7" s="1"/>
  <c r="B30" i="7"/>
  <c r="B31" i="7"/>
  <c r="B32" i="7"/>
  <c r="B33" i="7"/>
  <c r="E20" i="3"/>
  <c r="C33" i="23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26" i="7" s="1"/>
  <c r="G15" i="7"/>
  <c r="G27" i="7" s="1"/>
  <c r="L32" i="7"/>
  <c r="L31" i="7"/>
  <c r="E9" i="4"/>
  <c r="F9" i="4" s="1"/>
  <c r="G9" i="4" s="1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D87" i="12"/>
  <c r="H87" i="12"/>
  <c r="D88" i="12"/>
  <c r="H88" i="12"/>
  <c r="E23" i="6"/>
  <c r="D61" i="12"/>
  <c r="H62" i="12"/>
  <c r="D62" i="12" s="1"/>
  <c r="H61" i="12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G19" i="3" s="1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F19" i="3" l="1"/>
  <c r="E36" i="12"/>
  <c r="E37" i="12" s="1"/>
  <c r="D33" i="23"/>
  <c r="D52" i="23" s="1"/>
  <c r="H8" i="14"/>
  <c r="G8" i="14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<sst xmlns="http://schemas.openxmlformats.org/spreadsheetml/2006/main" count="318" uniqueCount="139">
  <si>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</si>
  <si>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</si>
  <si>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</si>
  <si>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</si>
  <si>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</si>
  <si>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</si>
  <si>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</si>
  <si>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</si>
  <si>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</si>
  <si>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</si>
  <si>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</si>
  <si>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</si>
  <si>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</si>
  <si>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</si>
  <si>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</si>
  <si>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</si>
  <si>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</si>
  <si>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</si>
  <si>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</si>
  <si>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</si>
  <si>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</si>
  <si>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</si>
  <si>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</si>
  <si>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</si>
  <si>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</si>
  <si>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</si>
  <si>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</si>
  <si>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</si>
  <si>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</si>
  <si>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</si>
  <si>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</si>
  <si>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</si>
  <si>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</si>
  <si>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</si>
  <si>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</si>
  <si>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</si>
  <si>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</si>
  <si>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</si>
  <si>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</si>
  <si>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</si>
  <si>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</si>
  <si>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</si>
  <si>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</si>
  <si>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</si>
  <si>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</si>
  <si>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</si>
  <si>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</si>
  <si>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</si>
  <si>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</si>
  <si>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</si>
  <si>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</si>
  <si>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</si>
  <si>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</si>
  <si>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</si>
  <si>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</si>
  <si>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</si>
  <si>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</si>
  <si>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</si>
  <si>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</si>
  <si>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</si>
  <si>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</si>
  <si>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</si>
  <si>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</si>
  <si>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</si>
  <si>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</si>
  <si>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</si>
  <si>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</si>
  <si>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</si>
  <si>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</si>
  <si>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</si>
  <si>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</si>
  <si>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</si>
  <si>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</si>
  <si>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</si>
  <si>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</si>
  <si>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</si>
  <si>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</si>
  <si>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</si>
  <si>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</si>
  <si>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</si>
  <si>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</si>
  <si>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</si>
  <si>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</si>
  <si>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</si>
  <si>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</si>
  <si>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</si>
  <si>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</si>
  <si>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</si>
  <si>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</si>
  <si>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</si>
  <si>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</si>
  <si>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</si>
  <si>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</si>
  <si>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</si>
  <si>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</si>
  <si>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</si>
  <si>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</si>
  <si>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</si>
  <si>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</si>
  <si>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</si>
  <si>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</si>
  <si>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</si>
  <si>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</si>
  <si>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</si>
  <si>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</si>
  <si>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</si>
  <si>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</si>
  <si>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</si>
  <si>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</si>
  <si>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</si>
  <si>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</si>
  <si>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</si>
  <si>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</si>
  <si>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</si>
  <si>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</si>
  <si>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</si>
  <si>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</si>
  <si>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Facility Costs</t>
  </si>
  <si>
    <t>Marketing</t>
  </si>
  <si>
    <t>Operational Managers</t>
  </si>
  <si>
    <t>Equipment Costs</t>
  </si>
  <si>
    <t>Position 6</t>
  </si>
  <si>
    <t>Position 10</t>
  </si>
  <si>
    <t>Fixed Assets</t>
  </si>
  <si>
    <t>Yearly Growth Rate</t>
  </si>
  <si>
    <t>Administrative Staff</t>
  </si>
  <si>
    <t>Other Income</t>
  </si>
  <si>
    <t>Rental Fees</t>
  </si>
  <si>
    <t>Rental Staff</t>
  </si>
  <si>
    <t>Vehicle Cleaning Staff</t>
  </si>
  <si>
    <t>Location Development</t>
  </si>
  <si>
    <t>Vehicles and Lease Deposits</t>
  </si>
  <si>
    <t>Furniture, Fixtures, and Equipment</t>
  </si>
  <si>
    <t>Misc. Costs</t>
  </si>
  <si>
    <t>6021 Media Holdings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</si>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</sst>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11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354904.84742999997</c:v>
                </c:pt>
                <c:pt idx="1">
                  <c:v>413969.81842299987</c:v>
                </c:pt>
                <c:pt idx="2">
                  <c:v>479049.52200280013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248433.39320099997</c:v>
                </c:pt>
                <c:pt idx="1">
                  <c:v>289778.87289609987</c:v>
                </c:pt>
                <c:pt idx="2">
                  <c:v>335334.66540196008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354904.84742999997</c:v>
                </c:pt>
                <c:pt idx="1">
                  <c:v>413969.81842299987</c:v>
                </c:pt>
                <c:pt idx="2">
                  <c:v>479049.52200280013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7C1-4DE9-9901-5550B1AFD5E5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47C1-4DE9-9901-5550B1AFD5E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248433.39320099997</c:v>
                </c:pt>
                <c:pt idx="1">
                  <c:v>289778.87289609987</c:v>
                </c:pt>
                <c:pt idx="2">
                  <c:v>335334.66540196008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1553426.154229</c:v>
                </c:pt>
                <c:pt idx="1">
                  <c:v>1624622.9137559</c:v>
                </c:pt>
                <c:pt idx="2">
                  <c:v>1715395.7206367401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496-A229-DDD4624D5336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2555.7000000000007</c:v>
                </c:pt>
                <c:pt idx="1">
                  <c:v>5162.514000000001</c:v>
                </c:pt>
                <c:pt idx="2">
                  <c:v>7821.464280000002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5-4496-A229-DDD4624D5336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1550870.454229</c:v>
                </c:pt>
                <c:pt idx="1">
                  <c:v>1619460.3997559</c:v>
                </c:pt>
                <c:pt idx="2">
                  <c:v>1707574.2563567401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5-4496-A229-DDD4624D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Rental Fees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0.93023255813953487</c:v>
                </c:pt>
                <c:pt idx="1">
                  <c:v>6.9767441860465115E-2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727602.1541194031</c:v>
                </c:pt>
                <c:pt idx="1">
                  <c:v>758283.35426675703</c:v>
                </c:pt>
                <c:pt idx="2">
                  <c:v>791852.2469831208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727602.1541194031</c:v>
                </c:pt>
                <c:pt idx="1">
                  <c:v>758283.35426675703</c:v>
                </c:pt>
                <c:pt idx="2">
                  <c:v>791852.2469831208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1291419</c:v>
                </c:pt>
                <c:pt idx="1">
                  <c:v>1420560.9</c:v>
                </c:pt>
                <c:pt idx="2">
                  <c:v>1562616.9900000002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623538.12510000006</c:v>
                </c:pt>
                <c:pt idx="1">
                  <c:v>649831.20010999998</c:v>
                </c:pt>
                <c:pt idx="2">
                  <c:v>678598.96049600001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483177.92489999998</c:v>
                </c:pt>
                <c:pt idx="1">
                  <c:v>567556.45488999982</c:v>
                </c:pt>
                <c:pt idx="2">
                  <c:v>660527.46000400023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1291419</c:v>
                </c:pt>
                <c:pt idx="1">
                  <c:v>1420560.9</c:v>
                </c:pt>
                <c:pt idx="2">
                  <c:v>1562616.9900000002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9.6543077746349668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483177.92489999998</c:v>
                </c:pt>
                <c:pt idx="1">
                  <c:v>567556.45488999982</c:v>
                </c:pt>
                <c:pt idx="2">
                  <c:v>660527.46000400023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1465557096625058"/>
                  <c:y val="-9.4342926961715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623538.12510000006</c:v>
                </c:pt>
                <c:pt idx="1">
                  <c:v>649831.20010999998</c:v>
                </c:pt>
                <c:pt idx="2">
                  <c:v>678598.96049600001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Rental Fees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0.93023255813953487</c:v>
                </c:pt>
                <c:pt idx="1">
                  <c:v>6.9767441860465115E-2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1553426.154229</c:v>
                </c:pt>
                <c:pt idx="1">
                  <c:v>1624622.9137559</c:v>
                </c:pt>
                <c:pt idx="2">
                  <c:v>1715395.7206367401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29-9B44-FD7A16AD1F9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2555.7000000000007</c:v>
                </c:pt>
                <c:pt idx="1">
                  <c:v>5162.514000000001</c:v>
                </c:pt>
                <c:pt idx="2">
                  <c:v>7821.464280000002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829-9B44-FD7A16AD1F9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1550870.454229</c:v>
                </c:pt>
                <c:pt idx="1">
                  <c:v>1619460.3997559</c:v>
                </c:pt>
                <c:pt idx="2">
                  <c:v>1707574.2563567401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829-9B44-FD7A16AD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Rental Staff</c:v>
                </c:pt>
                <c:pt idx="3">
                  <c:v>Vehicle Cleaning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0.23121387283236994</c:v>
                </c:pt>
                <c:pt idx="1">
                  <c:v>0.19653179190751446</c:v>
                </c:pt>
                <c:pt idx="2">
                  <c:v>0.38150289017341038</c:v>
                </c:pt>
                <c:pt idx="3">
                  <c:v>8.6705202312138727E-2</c:v>
                </c:pt>
                <c:pt idx="4">
                  <c:v>0.10404624277456648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E4C-469F-8180-B5B2FBC01D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E4C-469F-8180-B5B2FBC01D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Funds'!$D$6:$D$11</c:f>
              <c:strCache>
                <c:ptCount val="6"/>
                <c:pt idx="0">
                  <c:v>Location Development</c:v>
                </c:pt>
                <c:pt idx="1">
                  <c:v>Vehicles and Lease Deposits</c:v>
                </c:pt>
                <c:pt idx="2">
                  <c:v>Initial Marketing</c:v>
                </c:pt>
                <c:pt idx="3">
                  <c:v>Working Capital</c:v>
                </c:pt>
                <c:pt idx="4">
                  <c:v>Furniture, Fixtures, and Equipment</c:v>
                </c:pt>
                <c:pt idx="5">
                  <c:v>Misc. Costs</c:v>
                </c:pt>
              </c:strCache>
            </c:strRef>
          </c:cat>
          <c:val>
            <c:numRef>
              <c:f>'Use of Funds'!$E$6:$E$11</c:f>
              <c:numCache>
                <c:formatCode>"$"#,##0</c:formatCode>
                <c:ptCount val="6"/>
                <c:pt idx="0">
                  <c:v>75000</c:v>
                </c:pt>
                <c:pt idx="1">
                  <c:v>1150000</c:v>
                </c:pt>
                <c:pt idx="2">
                  <c:v>100000</c:v>
                </c:pt>
                <c:pt idx="3">
                  <c:v>100000</c:v>
                </c:pt>
                <c:pt idx="4">
                  <c:v>50000</c:v>
                </c:pt>
                <c:pt idx="5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1291419</c:v>
                </c:pt>
                <c:pt idx="1">
                  <c:v>1420560.9</c:v>
                </c:pt>
                <c:pt idx="2">
                  <c:v>1562616.9900000002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623538.12510000006</c:v>
                </c:pt>
                <c:pt idx="1">
                  <c:v>649831.20010999998</c:v>
                </c:pt>
                <c:pt idx="2">
                  <c:v>678598.96049600001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483177.92489999998</c:v>
                </c:pt>
                <c:pt idx="1">
                  <c:v>567556.45488999982</c:v>
                </c:pt>
                <c:pt idx="2">
                  <c:v>660527.46000400023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1291419</c:v>
                </c:pt>
                <c:pt idx="1">
                  <c:v>1420560.9</c:v>
                </c:pt>
                <c:pt idx="2">
                  <c:v>1562616.9900000002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682494816353108E-2"/>
                  <c:y val="-2.97196861328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4.2824134162716843E-3"/>
                  <c:y val="4.0526844726659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483177.92489999998</c:v>
                </c:pt>
                <c:pt idx="1">
                  <c:v>567556.45488999982</c:v>
                </c:pt>
                <c:pt idx="2">
                  <c:v>660527.46000400023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-1.6280016280017474E-3"/>
                  <c:y val="-0.121580534179979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623538.12510000006</c:v>
                </c:pt>
                <c:pt idx="1">
                  <c:v>649831.20010999998</c:v>
                </c:pt>
                <c:pt idx="2">
                  <c:v>678598.96049600001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354904.84742999997</c:v>
                </c:pt>
                <c:pt idx="1">
                  <c:v>413969.81842299987</c:v>
                </c:pt>
                <c:pt idx="2">
                  <c:v>479049.52200280013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248433.39320099997</c:v>
                </c:pt>
                <c:pt idx="1">
                  <c:v>289778.87289609987</c:v>
                </c:pt>
                <c:pt idx="2">
                  <c:v>335334.66540196008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354904.84742999997</c:v>
                </c:pt>
                <c:pt idx="1">
                  <c:v>413969.81842299987</c:v>
                </c:pt>
                <c:pt idx="2">
                  <c:v>479049.52200280013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B94-43BA-82E6-A61004A25177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CB94-43BA-82E6-A61004A2517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1.651186253809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5-4556-989B-5FD7D0DA4F3C}"/>
                </c:ext>
              </c:extLst>
            </c:dLbl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248433.39320099997</c:v>
                </c:pt>
                <c:pt idx="1">
                  <c:v>289778.87289609987</c:v>
                </c:pt>
                <c:pt idx="2">
                  <c:v>335334.66540196008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1553426.154229</c:v>
                </c:pt>
                <c:pt idx="1">
                  <c:v>2555.7000000000007</c:v>
                </c:pt>
                <c:pt idx="2">
                  <c:v>1550870.454229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1624622.9137559</c:v>
                </c:pt>
                <c:pt idx="1">
                  <c:v>5162.514000000001</c:v>
                </c:pt>
                <c:pt idx="2">
                  <c:v>1619460.3997559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1715395.7206367401</c:v>
                </c:pt>
                <c:pt idx="1">
                  <c:v>7821.464280000002</c:v>
                </c:pt>
                <c:pt idx="2">
                  <c:v>1707574.2563567401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476250</xdr:colOff>
      <xdr:row>2</xdr:row>
      <xdr:rowOff>0</xdr:rowOff>
    </xdr:from>
    <xdr:to>
      <xdr:col>21</xdr:col>
      <xdr:colOff>200023</xdr:colOff>
      <xdr:row>13</xdr:row>
      <xdr:rowOff>38098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CA6B0-884B-4D7D-B766-03063A84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361950</xdr:colOff>
      <xdr:row>28</xdr:row>
      <xdr:rowOff>85725</xdr:rowOff>
    </xdr:from>
    <xdr:to>
      <xdr:col>20</xdr:col>
      <xdr:colOff>142875</xdr:colOff>
      <xdr:row>39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53375A-E077-43D9-9E82-F5E0A369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54197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409575</xdr:colOff>
      <xdr:row>0</xdr:row>
      <xdr:rowOff>76200</xdr:rowOff>
    </xdr:from>
    <xdr:to>
      <xdr:col>22</xdr:col>
      <xdr:colOff>190500</xdr:colOff>
      <xdr:row>11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4D242-9AED-4529-8D13-4B3C1DCA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762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438150</xdr:colOff>
      <xdr:row>1</xdr:row>
      <xdr:rowOff>114300</xdr:rowOff>
    </xdr:from>
    <xdr:to>
      <xdr:col>26</xdr:col>
      <xdr:colOff>219075</xdr:colOff>
      <xdr:row>12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550399-182E-46BD-B781-D9ADD1AC7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3048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85725</xdr:colOff>
      <xdr:row>1</xdr:row>
      <xdr:rowOff>152400</xdr:rowOff>
    </xdr:from>
    <xdr:to>
      <xdr:col>25</xdr:col>
      <xdr:colOff>476250</xdr:colOff>
      <xdr:row>12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14128-AD3D-454B-B20E-ADE030076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3429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47625</xdr:colOff>
      <xdr:row>2</xdr:row>
      <xdr:rowOff>9525</xdr:rowOff>
    </xdr:from>
    <xdr:to>
      <xdr:col>26</xdr:col>
      <xdr:colOff>438150</xdr:colOff>
      <xdr:row>13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0E7F03-32A3-4BFB-B3DA-B5E7A97D7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7575" y="3905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523875</xdr:colOff>
      <xdr:row>28</xdr:row>
      <xdr:rowOff>0</xdr:rowOff>
    </xdr:from>
    <xdr:to>
      <xdr:col>13</xdr:col>
      <xdr:colOff>342900</xdr:colOff>
      <xdr:row>39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6C72B1-CEC1-4A7F-8535-43B3F3683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53340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2</xdr:row>
      <xdr:rowOff>57150</xdr:rowOff>
    </xdr:from>
    <xdr:to>
      <xdr:col>20</xdr:col>
      <xdr:colOff>285750</xdr:colOff>
      <xdr:row>27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352425</xdr:colOff>
      <xdr:row>0</xdr:row>
      <xdr:rowOff>66675</xdr:rowOff>
    </xdr:from>
    <xdr:to>
      <xdr:col>26</xdr:col>
      <xdr:colOff>133350</xdr:colOff>
      <xdr:row>11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3DE5E-E6AE-45FC-A9AE-0AC8783AF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666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323850</xdr:colOff>
      <xdr:row>0</xdr:row>
      <xdr:rowOff>0</xdr:rowOff>
    </xdr:from>
    <xdr:to>
      <xdr:col>24</xdr:col>
      <xdr:colOff>104775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DFF30-4F9F-4745-8FCC-E7059C5BA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514350</xdr:colOff>
      <xdr:row>0</xdr:row>
      <xdr:rowOff>0</xdr:rowOff>
    </xdr:from>
    <xdr:to>
      <xdr:col>25</xdr:col>
      <xdr:colOff>295275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683E4E-EBEF-4DBC-814E-C412F51E0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47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5</xdr:row>
      <xdr:rowOff>185737</xdr:rowOff>
    </xdr:from>
    <xdr:to>
      <xdr:col>14</xdr:col>
      <xdr:colOff>295275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A09CD-EE52-A849-B541-546969D8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9525</xdr:colOff>
      <xdr:row>1</xdr:row>
      <xdr:rowOff>133350</xdr:rowOff>
    </xdr:from>
    <xdr:to>
      <xdr:col>24</xdr:col>
      <xdr:colOff>400050</xdr:colOff>
      <xdr:row>12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A259C-55DA-472B-9820-6B5027958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225" y="3238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114300</xdr:colOff>
      <xdr:row>0</xdr:row>
      <xdr:rowOff>0</xdr:rowOff>
    </xdr:from>
    <xdr:to>
      <xdr:col>24</xdr:col>
      <xdr:colOff>504825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04DF26-3AD8-491D-95C2-F83A0FAF6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47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561975</xdr:colOff>
      <xdr:row>0</xdr:row>
      <xdr:rowOff>0</xdr:rowOff>
    </xdr:from>
    <xdr:to>
      <xdr:col>25</xdr:col>
      <xdr:colOff>342900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3F2ED2-30EF-427C-AA0B-032FAA1B6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38100</xdr:colOff>
      <xdr:row>16</xdr:row>
      <xdr:rowOff>9525</xdr:rowOff>
    </xdr:from>
    <xdr:to>
      <xdr:col>12</xdr:col>
      <xdr:colOff>333375</xdr:colOff>
      <xdr:row>27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ED3ECE-BD37-48B7-B1DF-A5DF6D647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30575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Q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4"/>
      <c r="C3" s="144"/>
      <c r="D3" s="144"/>
      <c r="E3" s="144"/>
    </row>
    <row r="4" spans="2:5">
      <c r="B4" s="145" t="s">
        <v>111</v>
      </c>
      <c r="C4" s="145" t="s">
        <v>57</v>
      </c>
      <c r="D4" s="145" t="s">
        <v>10</v>
      </c>
      <c r="E4" s="145" t="s">
        <v>8</v>
      </c>
    </row>
    <row r="5" spans="2:5">
      <c r="B5" s="66" t="s">
        <v>127</v>
      </c>
      <c r="C5" s="146">
        <v>0.15</v>
      </c>
      <c r="D5" s="146">
        <v>0.85</v>
      </c>
      <c r="E5" s="146">
        <f>C5+D5</f>
        <v>1</v>
      </c>
    </row>
    <row r="6" spans="2:5">
      <c r="B6" s="66" t="s">
        <v>126</v>
      </c>
      <c r="C6" s="146">
        <v>0.05</v>
      </c>
      <c r="D6" s="146">
        <v>0.95</v>
      </c>
      <c r="E6" s="146">
        <f t="shared" ref="E6:E12" si="0">C6+D6</f>
        <v>1</v>
      </c>
    </row>
    <row r="7" spans="2:5">
      <c r="B7" s="66" t="s">
        <v>103</v>
      </c>
      <c r="C7" s="146">
        <v>0.05</v>
      </c>
      <c r="D7" s="146">
        <v>0.95</v>
      </c>
      <c r="E7" s="146">
        <f t="shared" si="0"/>
        <v>1</v>
      </c>
    </row>
    <row r="8" spans="2:5">
      <c r="B8" s="66" t="s">
        <v>104</v>
      </c>
      <c r="C8" s="146">
        <v>0.05</v>
      </c>
      <c r="D8" s="146">
        <v>0.95</v>
      </c>
      <c r="E8" s="146">
        <f t="shared" si="0"/>
        <v>1</v>
      </c>
    </row>
    <row r="9" spans="2:5">
      <c r="B9" s="66" t="s">
        <v>105</v>
      </c>
      <c r="C9" s="146">
        <v>0.05</v>
      </c>
      <c r="D9" s="146">
        <v>0.95</v>
      </c>
      <c r="E9" s="146">
        <f t="shared" si="0"/>
        <v>1</v>
      </c>
    </row>
    <row r="10" spans="2:5">
      <c r="B10" s="66" t="s">
        <v>106</v>
      </c>
      <c r="C10" s="146">
        <v>0.05</v>
      </c>
      <c r="D10" s="146">
        <v>0.95</v>
      </c>
      <c r="E10" s="146">
        <f t="shared" si="0"/>
        <v>1</v>
      </c>
    </row>
    <row r="11" spans="2:5">
      <c r="B11" s="66" t="s">
        <v>107</v>
      </c>
      <c r="C11" s="146">
        <v>0.05</v>
      </c>
      <c r="D11" s="146">
        <v>0.95</v>
      </c>
      <c r="E11" s="146">
        <f t="shared" si="0"/>
        <v>1</v>
      </c>
    </row>
    <row r="12" spans="2:5">
      <c r="B12" s="66" t="s">
        <v>108</v>
      </c>
      <c r="C12" s="146">
        <v>0.05</v>
      </c>
      <c r="D12" s="146">
        <v>0.95</v>
      </c>
      <c r="E12" s="146">
        <f t="shared" si="0"/>
        <v>1</v>
      </c>
    </row>
    <row r="13" spans="2:5">
      <c r="B13" s="66" t="s">
        <v>109</v>
      </c>
      <c r="C13" s="146">
        <v>0.05</v>
      </c>
      <c r="D13" s="146">
        <v>0.95</v>
      </c>
      <c r="E13" s="146">
        <f t="shared" ref="E13:E14" si="1">C13+D13</f>
        <v>1</v>
      </c>
    </row>
    <row r="14" spans="2:5">
      <c r="B14" s="66" t="s">
        <v>110</v>
      </c>
      <c r="C14" s="146">
        <v>0.05</v>
      </c>
      <c r="D14" s="146">
        <v>0.95</v>
      </c>
      <c r="E14" s="146">
        <f t="shared" si="1"/>
        <v>1</v>
      </c>
    </row>
    <row r="16" spans="2:5">
      <c r="B16" s="144"/>
      <c r="C16" s="144"/>
      <c r="D16" s="144"/>
      <c r="E16" s="144"/>
    </row>
    <row r="17" spans="2:14">
      <c r="B17" s="145" t="s">
        <v>112</v>
      </c>
      <c r="C17" s="145">
        <v>1</v>
      </c>
      <c r="D17" s="145">
        <v>2</v>
      </c>
      <c r="E17" s="145">
        <v>3</v>
      </c>
    </row>
    <row r="18" spans="2:14">
      <c r="B18" s="70" t="s">
        <v>117</v>
      </c>
      <c r="C18" s="94">
        <v>65010</v>
      </c>
      <c r="D18" s="94">
        <f>C18*1.03</f>
        <v>66960.3</v>
      </c>
      <c r="E18" s="94">
        <f>D18*1.03</f>
        <v>68969.109000000011</v>
      </c>
    </row>
    <row r="19" spans="2:14">
      <c r="B19" s="70" t="s">
        <v>50</v>
      </c>
      <c r="C19" s="94">
        <f>'Profit and Loss Statement'!E6*0.0157</f>
        <v>20275.278299999998</v>
      </c>
      <c r="D19" s="94">
        <f>'Profit and Loss Statement'!F6*0.0157</f>
        <v>22302.806129999997</v>
      </c>
      <c r="E19" s="94">
        <f>'Profit and Loss Statement'!G6*0.0157</f>
        <v>24533.086743</v>
      </c>
    </row>
    <row r="20" spans="2:14">
      <c r="B20" s="70" t="s">
        <v>120</v>
      </c>
      <c r="C20" s="94">
        <f>'Profit and Loss Statement'!E6*0.0152</f>
        <v>19629.568800000001</v>
      </c>
      <c r="D20" s="94">
        <f>'Profit and Loss Statement'!F6*0.0152</f>
        <v>21592.525679999999</v>
      </c>
      <c r="E20" s="94">
        <f>'Profit and Loss Statement'!G6*0.0152</f>
        <v>23751.778248000002</v>
      </c>
    </row>
    <row r="21" spans="2:14">
      <c r="B21" s="70" t="s">
        <v>49</v>
      </c>
      <c r="C21" s="94">
        <f>'Personnel - Editable'!H16*0.06</f>
        <v>25950</v>
      </c>
      <c r="D21" s="94">
        <f>'Personnel - Editable'!I16*0.06</f>
        <v>26728.5</v>
      </c>
      <c r="E21" s="94">
        <f>'Personnel - Editable'!J16*0.06</f>
        <v>27530.355</v>
      </c>
      <c r="F21" s="119"/>
      <c r="G21" s="119"/>
    </row>
    <row r="22" spans="2:14">
      <c r="B22" s="70" t="s">
        <v>118</v>
      </c>
      <c r="C22" s="94">
        <f>'Profit and Loss Statement'!E6*0.012</f>
        <v>15497.028</v>
      </c>
      <c r="D22" s="94">
        <f>'Profit and Loss Statement'!F6*0.012</f>
        <v>17046.730799999998</v>
      </c>
      <c r="E22" s="94">
        <f>'Profit and Loss Statement'!G6*0.012</f>
        <v>18751.403880000002</v>
      </c>
      <c r="F22" s="1"/>
      <c r="G22" s="1"/>
    </row>
    <row r="23" spans="2:14">
      <c r="B23" s="70" t="s">
        <v>1</v>
      </c>
      <c r="C23" s="94">
        <v>11590</v>
      </c>
      <c r="D23" s="94">
        <f>C23*1.35</f>
        <v>15646.500000000002</v>
      </c>
      <c r="E23" s="94">
        <f>D23*1.35</f>
        <v>21122.775000000005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7" t="s">
        <v>113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2:14">
      <c r="B31" s="149" t="s">
        <v>5</v>
      </c>
      <c r="C31" s="150">
        <v>1</v>
      </c>
      <c r="D31" s="150">
        <f>C31+1</f>
        <v>2</v>
      </c>
      <c r="E31" s="150">
        <f t="shared" ref="E31:N31" si="2">D31+1</f>
        <v>3</v>
      </c>
      <c r="F31" s="150">
        <f t="shared" si="2"/>
        <v>4</v>
      </c>
      <c r="G31" s="150">
        <f t="shared" si="2"/>
        <v>5</v>
      </c>
      <c r="H31" s="150">
        <f t="shared" si="2"/>
        <v>6</v>
      </c>
      <c r="I31" s="150">
        <f t="shared" si="2"/>
        <v>7</v>
      </c>
      <c r="J31" s="150">
        <f t="shared" si="2"/>
        <v>8</v>
      </c>
      <c r="K31" s="150">
        <f t="shared" si="2"/>
        <v>9</v>
      </c>
      <c r="L31" s="150">
        <f t="shared" si="2"/>
        <v>10</v>
      </c>
      <c r="M31" s="150">
        <f t="shared" si="2"/>
        <v>11</v>
      </c>
      <c r="N31" s="150">
        <f t="shared" si="2"/>
        <v>12</v>
      </c>
    </row>
    <row r="32" spans="2:14">
      <c r="B32" s="66" t="str">
        <f t="shared" ref="B32:B41" si="3">B5</f>
        <v>Rental Fees</v>
      </c>
      <c r="C32" s="94">
        <v>100000</v>
      </c>
      <c r="D32" s="94">
        <f>C32+20</f>
        <v>100020</v>
      </c>
      <c r="E32" s="94">
        <f t="shared" ref="E32:N32" si="4">D32+20</f>
        <v>100040</v>
      </c>
      <c r="F32" s="94">
        <f t="shared" si="4"/>
        <v>100060</v>
      </c>
      <c r="G32" s="94">
        <f t="shared" si="4"/>
        <v>100080</v>
      </c>
      <c r="H32" s="94">
        <f t="shared" si="4"/>
        <v>100100</v>
      </c>
      <c r="I32" s="94">
        <f t="shared" si="4"/>
        <v>100120</v>
      </c>
      <c r="J32" s="94">
        <f t="shared" si="4"/>
        <v>100140</v>
      </c>
      <c r="K32" s="94">
        <f t="shared" si="4"/>
        <v>100160</v>
      </c>
      <c r="L32" s="94">
        <f t="shared" si="4"/>
        <v>100180</v>
      </c>
      <c r="M32" s="94">
        <f t="shared" si="4"/>
        <v>100200</v>
      </c>
      <c r="N32" s="94">
        <f t="shared" si="4"/>
        <v>100220</v>
      </c>
    </row>
    <row r="33" spans="2:17">
      <c r="B33" s="66" t="str">
        <f t="shared" si="3"/>
        <v>Other Income</v>
      </c>
      <c r="C33" s="94">
        <f>C32*0.075</f>
        <v>7500</v>
      </c>
      <c r="D33" s="94">
        <f t="shared" ref="D33:N33" si="5">D32*0.075</f>
        <v>7501.5</v>
      </c>
      <c r="E33" s="94">
        <f t="shared" si="5"/>
        <v>7503</v>
      </c>
      <c r="F33" s="94">
        <f t="shared" si="5"/>
        <v>7504.5</v>
      </c>
      <c r="G33" s="94">
        <f t="shared" si="5"/>
        <v>7506</v>
      </c>
      <c r="H33" s="94">
        <f t="shared" si="5"/>
        <v>7507.5</v>
      </c>
      <c r="I33" s="94">
        <f t="shared" si="5"/>
        <v>7509</v>
      </c>
      <c r="J33" s="94">
        <f t="shared" si="5"/>
        <v>7510.5</v>
      </c>
      <c r="K33" s="94">
        <f t="shared" si="5"/>
        <v>7512</v>
      </c>
      <c r="L33" s="94">
        <f t="shared" si="5"/>
        <v>7513.5</v>
      </c>
      <c r="M33" s="94">
        <f t="shared" si="5"/>
        <v>7515</v>
      </c>
      <c r="N33" s="94">
        <f t="shared" si="5"/>
        <v>7516.5</v>
      </c>
    </row>
    <row r="34" spans="2:17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7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Q35" s="112" t="s">
        <v>134</v>
      </c>
    </row>
    <row r="36" spans="2:17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7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7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7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7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Q41" s="153" t="s">
        <v>138</v>
      </c>
    </row>
    <row r="42" spans="2:17">
      <c r="B42" s="151" t="s">
        <v>8</v>
      </c>
      <c r="C42" s="152">
        <f>SUM(C32:C41)</f>
        <v>107500</v>
      </c>
      <c r="D42" s="152">
        <f t="shared" ref="D42:N42" si="6">SUM(D32:D41)</f>
        <v>107521.5</v>
      </c>
      <c r="E42" s="152">
        <f t="shared" si="6"/>
        <v>107543</v>
      </c>
      <c r="F42" s="152">
        <f t="shared" si="6"/>
        <v>107564.5</v>
      </c>
      <c r="G42" s="152">
        <f t="shared" si="6"/>
        <v>107586</v>
      </c>
      <c r="H42" s="152">
        <f t="shared" si="6"/>
        <v>107607.5</v>
      </c>
      <c r="I42" s="152">
        <f t="shared" si="6"/>
        <v>107629</v>
      </c>
      <c r="J42" s="152">
        <f t="shared" si="6"/>
        <v>107650.5</v>
      </c>
      <c r="K42" s="152">
        <f t="shared" si="6"/>
        <v>107672</v>
      </c>
      <c r="L42" s="152">
        <f t="shared" si="6"/>
        <v>107693.5</v>
      </c>
      <c r="M42" s="152">
        <f t="shared" si="6"/>
        <v>107715</v>
      </c>
      <c r="N42" s="152">
        <f t="shared" si="6"/>
        <v>107736.5</v>
      </c>
    </row>
    <row r="44" spans="2:17">
      <c r="B44" s="144"/>
      <c r="C44" s="144"/>
    </row>
    <row r="45" spans="2:17">
      <c r="B45" s="145" t="s">
        <v>124</v>
      </c>
      <c r="C45" s="145"/>
    </row>
    <row r="46" spans="2:17">
      <c r="B46" s="66" t="s">
        <v>3</v>
      </c>
      <c r="C46" s="143">
        <v>0.1</v>
      </c>
    </row>
    <row r="47" spans="2:17">
      <c r="B47" s="66" t="s">
        <v>4</v>
      </c>
      <c r="C47" s="143">
        <v>0.1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Rental Fees</v>
      </c>
      <c r="C51" s="114">
        <f t="shared" ref="C51:N51" si="9">C32*($C$5/$E$5)</f>
        <v>15000</v>
      </c>
      <c r="D51" s="114">
        <f t="shared" si="9"/>
        <v>15003</v>
      </c>
      <c r="E51" s="114">
        <f t="shared" si="9"/>
        <v>15006</v>
      </c>
      <c r="F51" s="114">
        <f t="shared" si="9"/>
        <v>15009</v>
      </c>
      <c r="G51" s="114">
        <f t="shared" si="9"/>
        <v>15012</v>
      </c>
      <c r="H51" s="114">
        <f t="shared" si="9"/>
        <v>15015</v>
      </c>
      <c r="I51" s="114">
        <f t="shared" si="9"/>
        <v>15018</v>
      </c>
      <c r="J51" s="114">
        <f t="shared" si="9"/>
        <v>15021</v>
      </c>
      <c r="K51" s="114">
        <f t="shared" si="9"/>
        <v>15024</v>
      </c>
      <c r="L51" s="114">
        <f t="shared" si="9"/>
        <v>15027</v>
      </c>
      <c r="M51" s="114">
        <f t="shared" si="9"/>
        <v>15030</v>
      </c>
      <c r="N51" s="114">
        <f t="shared" si="9"/>
        <v>15033</v>
      </c>
    </row>
    <row r="52" spans="2:14">
      <c r="B52" s="112" t="str">
        <f t="shared" si="8"/>
        <v>Other Income</v>
      </c>
      <c r="C52" s="114">
        <f t="shared" ref="C52:N52" si="10">C33*($C$6/$E$6)</f>
        <v>375</v>
      </c>
      <c r="D52" s="114">
        <f t="shared" si="10"/>
        <v>375.07500000000005</v>
      </c>
      <c r="E52" s="114">
        <f t="shared" si="10"/>
        <v>375.15000000000003</v>
      </c>
      <c r="F52" s="114">
        <f t="shared" si="10"/>
        <v>375.22500000000002</v>
      </c>
      <c r="G52" s="114">
        <f t="shared" si="10"/>
        <v>375.3</v>
      </c>
      <c r="H52" s="114">
        <f t="shared" si="10"/>
        <v>375.375</v>
      </c>
      <c r="I52" s="114">
        <f t="shared" si="10"/>
        <v>375.45000000000005</v>
      </c>
      <c r="J52" s="114">
        <f t="shared" si="10"/>
        <v>375.52500000000003</v>
      </c>
      <c r="K52" s="114">
        <f t="shared" si="10"/>
        <v>375.6</v>
      </c>
      <c r="L52" s="114">
        <f t="shared" si="10"/>
        <v>375.67500000000001</v>
      </c>
      <c r="M52" s="114">
        <f t="shared" si="10"/>
        <v>375.75</v>
      </c>
      <c r="N52" s="114">
        <f t="shared" si="10"/>
        <v>375.82500000000005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15375</v>
      </c>
      <c r="D61" s="114">
        <f t="shared" ref="D61:N61" si="19">SUM(D51:D60)</f>
        <v>15378.075000000001</v>
      </c>
      <c r="E61" s="114">
        <f t="shared" si="19"/>
        <v>15381.15</v>
      </c>
      <c r="F61" s="114">
        <f t="shared" si="19"/>
        <v>15384.225</v>
      </c>
      <c r="G61" s="114">
        <f t="shared" si="19"/>
        <v>15387.3</v>
      </c>
      <c r="H61" s="114">
        <f t="shared" si="19"/>
        <v>15390.375</v>
      </c>
      <c r="I61" s="114">
        <f t="shared" si="19"/>
        <v>15393.45</v>
      </c>
      <c r="J61" s="114">
        <f t="shared" si="19"/>
        <v>15396.525</v>
      </c>
      <c r="K61" s="114">
        <f t="shared" si="19"/>
        <v>15399.6</v>
      </c>
      <c r="L61" s="114">
        <f t="shared" si="19"/>
        <v>15402.674999999999</v>
      </c>
      <c r="M61" s="114">
        <f t="shared" si="19"/>
        <v>15405.75</v>
      </c>
      <c r="N61" s="114">
        <f t="shared" si="19"/>
        <v>15408.825000000001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92125</v>
      </c>
      <c r="D66" s="114">
        <f t="shared" si="21"/>
        <v>92143.425000000003</v>
      </c>
      <c r="E66" s="114">
        <f t="shared" si="21"/>
        <v>92161.85</v>
      </c>
      <c r="F66" s="114">
        <f t="shared" si="21"/>
        <v>92180.274999999994</v>
      </c>
      <c r="G66" s="114">
        <f t="shared" si="21"/>
        <v>92198.7</v>
      </c>
      <c r="H66" s="114">
        <f t="shared" si="21"/>
        <v>92217.125</v>
      </c>
      <c r="I66" s="114">
        <f t="shared" si="21"/>
        <v>92235.55</v>
      </c>
      <c r="J66" s="114">
        <f t="shared" si="21"/>
        <v>92253.975000000006</v>
      </c>
      <c r="K66" s="114">
        <f t="shared" si="21"/>
        <v>92272.4</v>
      </c>
      <c r="L66" s="114">
        <f t="shared" si="21"/>
        <v>92290.824999999997</v>
      </c>
      <c r="M66" s="114">
        <f t="shared" si="21"/>
        <v>92309.25</v>
      </c>
      <c r="N66" s="114">
        <f t="shared" si="21"/>
        <v>92327.675000000003</v>
      </c>
    </row>
  </sheetData>
  <sheetProtection algorithmName="SHA-512" hashValue="UIleToWVNmb8hwlClnwun7ne7wIEtPFLKlDSrIcs+Y7EIWj1t91SC6Yn8MN+wxMt/2cLjP6YHD0arbDQB2anLQ==" saltValue="ODtvUFw9fmTYr/MfZHplrw==" spinCount="100000" sheet="1" objects="1" scenarios="1" selectLockedCells="1"/>
  <hyperlinks>
    <hyperlink ref="Q41" r:id="rId1" xr:uid="{CBA26916-4995-4B81-A7E8-ED48C185B2E9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Q6" sqref="Q6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0</v>
      </c>
      <c r="C5" s="55"/>
      <c r="D5" s="56" t="s">
        <v>36</v>
      </c>
      <c r="E5" s="59">
        <f>PMT(B6/B8,(B7*B8),-B5)</f>
        <v>0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0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0</v>
      </c>
      <c r="C14" s="1">
        <f>B14-D14</f>
        <v>0</v>
      </c>
      <c r="D14" s="1">
        <f>(B5*($B$6/$B$8))</f>
        <v>0</v>
      </c>
      <c r="E14" s="1">
        <f>B5-C14</f>
        <v>0</v>
      </c>
    </row>
    <row r="15" spans="1:5">
      <c r="A15">
        <f>IF(($B$7*$B$8&gt;A14),IF(($B$7*$B$8)=A14,"",A14+1),"")</f>
        <v>2</v>
      </c>
      <c r="B15" s="1">
        <f>IF(A15="","",$B$14)</f>
        <v>0</v>
      </c>
      <c r="C15" s="1">
        <f>IF(A15="","",B15-D15)</f>
        <v>0</v>
      </c>
      <c r="D15" s="1">
        <f>IF(A15="","",(E14*($B$6/$B$8)))</f>
        <v>0</v>
      </c>
      <c r="E15" s="1">
        <f>IF(A15="","",E14-C15)</f>
        <v>0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0</v>
      </c>
      <c r="C16" s="1">
        <f t="shared" ref="C16:C79" si="2">IF(A16="","",B16-D16)</f>
        <v>0</v>
      </c>
      <c r="D16" s="1">
        <f t="shared" ref="D16:D79" si="3">IF(A16="","",(E15*($B$6/$B$8)))</f>
        <v>0</v>
      </c>
      <c r="E16" s="1">
        <f t="shared" ref="E16:E79" si="4">IF(A16="","",E15-C16)</f>
        <v>0</v>
      </c>
    </row>
    <row r="17" spans="1:5">
      <c r="A17">
        <f t="shared" si="0"/>
        <v>4</v>
      </c>
      <c r="B17" s="1">
        <f t="shared" si="1"/>
        <v>0</v>
      </c>
      <c r="C17" s="1">
        <f t="shared" si="2"/>
        <v>0</v>
      </c>
      <c r="D17" s="1">
        <f t="shared" si="3"/>
        <v>0</v>
      </c>
      <c r="E17" s="1">
        <f t="shared" si="4"/>
        <v>0</v>
      </c>
    </row>
    <row r="18" spans="1:5">
      <c r="A18">
        <f t="shared" si="0"/>
        <v>5</v>
      </c>
      <c r="B18" s="1">
        <f t="shared" si="1"/>
        <v>0</v>
      </c>
      <c r="C18" s="1">
        <f t="shared" si="2"/>
        <v>0</v>
      </c>
      <c r="D18" s="1">
        <f t="shared" si="3"/>
        <v>0</v>
      </c>
      <c r="E18" s="1">
        <f t="shared" si="4"/>
        <v>0</v>
      </c>
    </row>
    <row r="19" spans="1:5">
      <c r="A19">
        <f t="shared" si="0"/>
        <v>6</v>
      </c>
      <c r="B19" s="1">
        <f t="shared" si="1"/>
        <v>0</v>
      </c>
      <c r="C19" s="1">
        <f t="shared" si="2"/>
        <v>0</v>
      </c>
      <c r="D19" s="1">
        <f t="shared" si="3"/>
        <v>0</v>
      </c>
      <c r="E19" s="1">
        <f t="shared" si="4"/>
        <v>0</v>
      </c>
    </row>
    <row r="20" spans="1:5">
      <c r="A20">
        <f t="shared" si="0"/>
        <v>7</v>
      </c>
      <c r="B20" s="1">
        <f t="shared" si="1"/>
        <v>0</v>
      </c>
      <c r="C20" s="1">
        <f t="shared" si="2"/>
        <v>0</v>
      </c>
      <c r="D20" s="1">
        <f t="shared" si="3"/>
        <v>0</v>
      </c>
      <c r="E20" s="1">
        <f t="shared" si="4"/>
        <v>0</v>
      </c>
    </row>
    <row r="21" spans="1:5">
      <c r="A21">
        <f t="shared" si="0"/>
        <v>8</v>
      </c>
      <c r="B21" s="1">
        <f t="shared" si="1"/>
        <v>0</v>
      </c>
      <c r="C21" s="1">
        <f t="shared" si="2"/>
        <v>0</v>
      </c>
      <c r="D21" s="1">
        <f t="shared" si="3"/>
        <v>0</v>
      </c>
      <c r="E21" s="1">
        <f t="shared" si="4"/>
        <v>0</v>
      </c>
    </row>
    <row r="22" spans="1:5">
      <c r="A22">
        <f t="shared" si="0"/>
        <v>9</v>
      </c>
      <c r="B22" s="1">
        <f t="shared" si="1"/>
        <v>0</v>
      </c>
      <c r="C22" s="1">
        <f t="shared" si="2"/>
        <v>0</v>
      </c>
      <c r="D22" s="1">
        <f t="shared" si="3"/>
        <v>0</v>
      </c>
      <c r="E22" s="1">
        <f t="shared" si="4"/>
        <v>0</v>
      </c>
    </row>
    <row r="23" spans="1:5">
      <c r="A23">
        <f t="shared" si="0"/>
        <v>10</v>
      </c>
      <c r="B23" s="1">
        <f t="shared" si="1"/>
        <v>0</v>
      </c>
      <c r="C23" s="1">
        <f t="shared" si="2"/>
        <v>0</v>
      </c>
      <c r="D23" s="1">
        <f t="shared" si="3"/>
        <v>0</v>
      </c>
      <c r="E23" s="1">
        <f t="shared" si="4"/>
        <v>0</v>
      </c>
    </row>
    <row r="24" spans="1:5">
      <c r="A24">
        <f t="shared" si="0"/>
        <v>11</v>
      </c>
      <c r="B24" s="1">
        <f t="shared" si="1"/>
        <v>0</v>
      </c>
      <c r="C24" s="1">
        <f t="shared" si="2"/>
        <v>0</v>
      </c>
      <c r="D24" s="1">
        <f t="shared" si="3"/>
        <v>0</v>
      </c>
      <c r="E24" s="1">
        <f t="shared" si="4"/>
        <v>0</v>
      </c>
    </row>
    <row r="25" spans="1:5">
      <c r="A25">
        <f t="shared" si="0"/>
        <v>12</v>
      </c>
      <c r="B25" s="1">
        <f t="shared" si="1"/>
        <v>0</v>
      </c>
      <c r="C25" s="1">
        <f t="shared" si="2"/>
        <v>0</v>
      </c>
      <c r="D25" s="1">
        <f t="shared" si="3"/>
        <v>0</v>
      </c>
      <c r="E25" s="1">
        <f t="shared" si="4"/>
        <v>0</v>
      </c>
    </row>
    <row r="26" spans="1:5">
      <c r="A26">
        <f t="shared" si="0"/>
        <v>13</v>
      </c>
      <c r="B26" s="1">
        <f t="shared" si="1"/>
        <v>0</v>
      </c>
      <c r="C26" s="1">
        <f t="shared" si="2"/>
        <v>0</v>
      </c>
      <c r="D26" s="1">
        <f t="shared" si="3"/>
        <v>0</v>
      </c>
      <c r="E26" s="1">
        <f t="shared" si="4"/>
        <v>0</v>
      </c>
    </row>
    <row r="27" spans="1:5">
      <c r="A27">
        <f t="shared" si="0"/>
        <v>14</v>
      </c>
      <c r="B27" s="1">
        <f t="shared" si="1"/>
        <v>0</v>
      </c>
      <c r="C27" s="1">
        <f t="shared" si="2"/>
        <v>0</v>
      </c>
      <c r="D27" s="1">
        <f t="shared" si="3"/>
        <v>0</v>
      </c>
      <c r="E27" s="1">
        <f t="shared" si="4"/>
        <v>0</v>
      </c>
    </row>
    <row r="28" spans="1:5">
      <c r="A28">
        <f t="shared" si="0"/>
        <v>15</v>
      </c>
      <c r="B28" s="1">
        <f t="shared" si="1"/>
        <v>0</v>
      </c>
      <c r="C28" s="1">
        <f t="shared" si="2"/>
        <v>0</v>
      </c>
      <c r="D28" s="1">
        <f t="shared" si="3"/>
        <v>0</v>
      </c>
      <c r="E28" s="1">
        <f t="shared" si="4"/>
        <v>0</v>
      </c>
    </row>
    <row r="29" spans="1:5">
      <c r="A29">
        <f t="shared" si="0"/>
        <v>16</v>
      </c>
      <c r="B29" s="1">
        <f t="shared" si="1"/>
        <v>0</v>
      </c>
      <c r="C29" s="1">
        <f t="shared" si="2"/>
        <v>0</v>
      </c>
      <c r="D29" s="1">
        <f t="shared" si="3"/>
        <v>0</v>
      </c>
      <c r="E29" s="1">
        <f t="shared" si="4"/>
        <v>0</v>
      </c>
    </row>
    <row r="30" spans="1:5">
      <c r="A30">
        <f t="shared" si="0"/>
        <v>17</v>
      </c>
      <c r="B30" s="1">
        <f t="shared" si="1"/>
        <v>0</v>
      </c>
      <c r="C30" s="1">
        <f t="shared" si="2"/>
        <v>0</v>
      </c>
      <c r="D30" s="1">
        <f t="shared" si="3"/>
        <v>0</v>
      </c>
      <c r="E30" s="1">
        <f t="shared" si="4"/>
        <v>0</v>
      </c>
    </row>
    <row r="31" spans="1:5">
      <c r="A31">
        <f t="shared" si="0"/>
        <v>18</v>
      </c>
      <c r="B31" s="1">
        <f t="shared" si="1"/>
        <v>0</v>
      </c>
      <c r="C31" s="1">
        <f t="shared" si="2"/>
        <v>0</v>
      </c>
      <c r="D31" s="1">
        <f t="shared" si="3"/>
        <v>0</v>
      </c>
      <c r="E31" s="1">
        <f t="shared" si="4"/>
        <v>0</v>
      </c>
    </row>
    <row r="32" spans="1:5">
      <c r="A32">
        <f t="shared" si="0"/>
        <v>19</v>
      </c>
      <c r="B32" s="1">
        <f t="shared" si="1"/>
        <v>0</v>
      </c>
      <c r="C32" s="1">
        <f t="shared" si="2"/>
        <v>0</v>
      </c>
      <c r="D32" s="1">
        <f t="shared" si="3"/>
        <v>0</v>
      </c>
      <c r="E32" s="1">
        <f t="shared" si="4"/>
        <v>0</v>
      </c>
    </row>
    <row r="33" spans="1:5">
      <c r="A33">
        <f t="shared" si="0"/>
        <v>20</v>
      </c>
      <c r="B33" s="1">
        <f t="shared" si="1"/>
        <v>0</v>
      </c>
      <c r="C33" s="1">
        <f t="shared" si="2"/>
        <v>0</v>
      </c>
      <c r="D33" s="1">
        <f t="shared" si="3"/>
        <v>0</v>
      </c>
      <c r="E33" s="1">
        <f t="shared" si="4"/>
        <v>0</v>
      </c>
    </row>
    <row r="34" spans="1:5">
      <c r="A34">
        <f t="shared" si="0"/>
        <v>21</v>
      </c>
      <c r="B34" s="1">
        <f t="shared" si="1"/>
        <v>0</v>
      </c>
      <c r="C34" s="1">
        <f t="shared" si="2"/>
        <v>0</v>
      </c>
      <c r="D34" s="1">
        <f t="shared" si="3"/>
        <v>0</v>
      </c>
      <c r="E34" s="1">
        <f t="shared" si="4"/>
        <v>0</v>
      </c>
    </row>
    <row r="35" spans="1:5">
      <c r="A35">
        <f t="shared" si="0"/>
        <v>22</v>
      </c>
      <c r="B35" s="1">
        <f t="shared" si="1"/>
        <v>0</v>
      </c>
      <c r="C35" s="1">
        <f t="shared" si="2"/>
        <v>0</v>
      </c>
      <c r="D35" s="1">
        <f t="shared" si="3"/>
        <v>0</v>
      </c>
      <c r="E35" s="1">
        <f t="shared" si="4"/>
        <v>0</v>
      </c>
    </row>
    <row r="36" spans="1:5">
      <c r="A36">
        <f t="shared" si="0"/>
        <v>23</v>
      </c>
      <c r="B36" s="1">
        <f t="shared" si="1"/>
        <v>0</v>
      </c>
      <c r="C36" s="1">
        <f t="shared" si="2"/>
        <v>0</v>
      </c>
      <c r="D36" s="1">
        <f t="shared" si="3"/>
        <v>0</v>
      </c>
      <c r="E36" s="1">
        <f t="shared" si="4"/>
        <v>0</v>
      </c>
    </row>
    <row r="37" spans="1:5">
      <c r="A37">
        <f t="shared" si="0"/>
        <v>24</v>
      </c>
      <c r="B37" s="1">
        <f t="shared" si="1"/>
        <v>0</v>
      </c>
      <c r="C37" s="1">
        <f t="shared" si="2"/>
        <v>0</v>
      </c>
      <c r="D37" s="1">
        <f t="shared" si="3"/>
        <v>0</v>
      </c>
      <c r="E37" s="1">
        <f t="shared" si="4"/>
        <v>0</v>
      </c>
    </row>
    <row r="38" spans="1:5">
      <c r="A38">
        <f t="shared" si="0"/>
        <v>25</v>
      </c>
      <c r="B38" s="1">
        <f t="shared" si="1"/>
        <v>0</v>
      </c>
      <c r="C38" s="1">
        <f t="shared" si="2"/>
        <v>0</v>
      </c>
      <c r="D38" s="1">
        <f t="shared" si="3"/>
        <v>0</v>
      </c>
      <c r="E38" s="1">
        <f t="shared" si="4"/>
        <v>0</v>
      </c>
    </row>
    <row r="39" spans="1:5">
      <c r="A39">
        <f t="shared" si="0"/>
        <v>26</v>
      </c>
      <c r="B39" s="1">
        <f t="shared" si="1"/>
        <v>0</v>
      </c>
      <c r="C39" s="1">
        <f t="shared" si="2"/>
        <v>0</v>
      </c>
      <c r="D39" s="1">
        <f t="shared" si="3"/>
        <v>0</v>
      </c>
      <c r="E39" s="1">
        <f t="shared" si="4"/>
        <v>0</v>
      </c>
    </row>
    <row r="40" spans="1:5">
      <c r="A40">
        <f t="shared" si="0"/>
        <v>27</v>
      </c>
      <c r="B40" s="1">
        <f t="shared" si="1"/>
        <v>0</v>
      </c>
      <c r="C40" s="1">
        <f t="shared" si="2"/>
        <v>0</v>
      </c>
      <c r="D40" s="1">
        <f t="shared" si="3"/>
        <v>0</v>
      </c>
      <c r="E40" s="1">
        <f t="shared" si="4"/>
        <v>0</v>
      </c>
    </row>
    <row r="41" spans="1:5">
      <c r="A41">
        <f t="shared" si="0"/>
        <v>28</v>
      </c>
      <c r="B41" s="1">
        <f t="shared" si="1"/>
        <v>0</v>
      </c>
      <c r="C41" s="1">
        <f t="shared" si="2"/>
        <v>0</v>
      </c>
      <c r="D41" s="1">
        <f t="shared" si="3"/>
        <v>0</v>
      </c>
      <c r="E41" s="1">
        <f t="shared" si="4"/>
        <v>0</v>
      </c>
    </row>
    <row r="42" spans="1:5">
      <c r="A42">
        <f t="shared" si="0"/>
        <v>29</v>
      </c>
      <c r="B42" s="1">
        <f t="shared" si="1"/>
        <v>0</v>
      </c>
      <c r="C42" s="1">
        <f t="shared" si="2"/>
        <v>0</v>
      </c>
      <c r="D42" s="1">
        <f t="shared" si="3"/>
        <v>0</v>
      </c>
      <c r="E42" s="1">
        <f t="shared" si="4"/>
        <v>0</v>
      </c>
    </row>
    <row r="43" spans="1:5">
      <c r="A43">
        <f t="shared" si="0"/>
        <v>30</v>
      </c>
      <c r="B43" s="1">
        <f t="shared" si="1"/>
        <v>0</v>
      </c>
      <c r="C43" s="1">
        <f t="shared" si="2"/>
        <v>0</v>
      </c>
      <c r="D43" s="1">
        <f t="shared" si="3"/>
        <v>0</v>
      </c>
      <c r="E43" s="1">
        <f t="shared" si="4"/>
        <v>0</v>
      </c>
    </row>
    <row r="44" spans="1:5">
      <c r="A44">
        <f t="shared" si="0"/>
        <v>31</v>
      </c>
      <c r="B44" s="1">
        <f t="shared" si="1"/>
        <v>0</v>
      </c>
      <c r="C44" s="1">
        <f t="shared" si="2"/>
        <v>0</v>
      </c>
      <c r="D44" s="1">
        <f t="shared" si="3"/>
        <v>0</v>
      </c>
      <c r="E44" s="1">
        <f t="shared" si="4"/>
        <v>0</v>
      </c>
    </row>
    <row r="45" spans="1:5">
      <c r="A45">
        <f t="shared" si="0"/>
        <v>32</v>
      </c>
      <c r="B45" s="1">
        <f t="shared" si="1"/>
        <v>0</v>
      </c>
      <c r="C45" s="1">
        <f t="shared" si="2"/>
        <v>0</v>
      </c>
      <c r="D45" s="1">
        <f t="shared" si="3"/>
        <v>0</v>
      </c>
      <c r="E45" s="1">
        <f t="shared" si="4"/>
        <v>0</v>
      </c>
    </row>
    <row r="46" spans="1:5">
      <c r="A46">
        <f t="shared" si="0"/>
        <v>33</v>
      </c>
      <c r="B46" s="1">
        <f t="shared" si="1"/>
        <v>0</v>
      </c>
      <c r="C46" s="1">
        <f t="shared" si="2"/>
        <v>0</v>
      </c>
      <c r="D46" s="1">
        <f t="shared" si="3"/>
        <v>0</v>
      </c>
      <c r="E46" s="1">
        <f t="shared" si="4"/>
        <v>0</v>
      </c>
    </row>
    <row r="47" spans="1:5">
      <c r="A47">
        <f t="shared" si="0"/>
        <v>34</v>
      </c>
      <c r="B47" s="1">
        <f t="shared" si="1"/>
        <v>0</v>
      </c>
      <c r="C47" s="1">
        <f t="shared" si="2"/>
        <v>0</v>
      </c>
      <c r="D47" s="1">
        <f t="shared" si="3"/>
        <v>0</v>
      </c>
      <c r="E47" s="1">
        <f t="shared" si="4"/>
        <v>0</v>
      </c>
    </row>
    <row r="48" spans="1:5">
      <c r="A48">
        <f t="shared" si="0"/>
        <v>35</v>
      </c>
      <c r="B48" s="1">
        <f t="shared" si="1"/>
        <v>0</v>
      </c>
      <c r="C48" s="1">
        <f t="shared" si="2"/>
        <v>0</v>
      </c>
      <c r="D48" s="1">
        <f t="shared" si="3"/>
        <v>0</v>
      </c>
      <c r="E48" s="1">
        <f t="shared" si="4"/>
        <v>0</v>
      </c>
    </row>
    <row r="49" spans="1:5">
      <c r="A49">
        <f t="shared" si="0"/>
        <v>36</v>
      </c>
      <c r="B49" s="1">
        <f t="shared" si="1"/>
        <v>0</v>
      </c>
      <c r="C49" s="1">
        <f t="shared" si="2"/>
        <v>0</v>
      </c>
      <c r="D49" s="1">
        <f t="shared" si="3"/>
        <v>0</v>
      </c>
      <c r="E49" s="1">
        <f t="shared" si="4"/>
        <v>0</v>
      </c>
    </row>
    <row r="50" spans="1:5">
      <c r="A50">
        <f t="shared" si="0"/>
        <v>37</v>
      </c>
      <c r="B50" s="1">
        <f t="shared" si="1"/>
        <v>0</v>
      </c>
      <c r="C50" s="1">
        <f t="shared" si="2"/>
        <v>0</v>
      </c>
      <c r="D50" s="1">
        <f t="shared" si="3"/>
        <v>0</v>
      </c>
      <c r="E50" s="1">
        <f t="shared" si="4"/>
        <v>0</v>
      </c>
    </row>
    <row r="51" spans="1:5">
      <c r="A51">
        <f t="shared" si="0"/>
        <v>38</v>
      </c>
      <c r="B51" s="1">
        <f t="shared" si="1"/>
        <v>0</v>
      </c>
      <c r="C51" s="1">
        <f t="shared" si="2"/>
        <v>0</v>
      </c>
      <c r="D51" s="1">
        <f t="shared" si="3"/>
        <v>0</v>
      </c>
      <c r="E51" s="1">
        <f t="shared" si="4"/>
        <v>0</v>
      </c>
    </row>
    <row r="52" spans="1:5">
      <c r="A52">
        <f t="shared" si="0"/>
        <v>39</v>
      </c>
      <c r="B52" s="1">
        <f t="shared" si="1"/>
        <v>0</v>
      </c>
      <c r="C52" s="1">
        <f t="shared" si="2"/>
        <v>0</v>
      </c>
      <c r="D52" s="1">
        <f t="shared" si="3"/>
        <v>0</v>
      </c>
      <c r="E52" s="1">
        <f t="shared" si="4"/>
        <v>0</v>
      </c>
    </row>
    <row r="53" spans="1:5">
      <c r="A53">
        <f t="shared" si="0"/>
        <v>40</v>
      </c>
      <c r="B53" s="1">
        <f t="shared" si="1"/>
        <v>0</v>
      </c>
      <c r="C53" s="1">
        <f t="shared" si="2"/>
        <v>0</v>
      </c>
      <c r="D53" s="1">
        <f t="shared" si="3"/>
        <v>0</v>
      </c>
      <c r="E53" s="1">
        <f t="shared" si="4"/>
        <v>0</v>
      </c>
    </row>
    <row r="54" spans="1:5">
      <c r="A54">
        <f t="shared" si="0"/>
        <v>41</v>
      </c>
      <c r="B54" s="1">
        <f t="shared" si="1"/>
        <v>0</v>
      </c>
      <c r="C54" s="1">
        <f t="shared" si="2"/>
        <v>0</v>
      </c>
      <c r="D54" s="1">
        <f t="shared" si="3"/>
        <v>0</v>
      </c>
      <c r="E54" s="1">
        <f t="shared" si="4"/>
        <v>0</v>
      </c>
    </row>
    <row r="55" spans="1:5">
      <c r="A55">
        <f t="shared" si="0"/>
        <v>42</v>
      </c>
      <c r="B55" s="1">
        <f t="shared" si="1"/>
        <v>0</v>
      </c>
      <c r="C55" s="1">
        <f t="shared" si="2"/>
        <v>0</v>
      </c>
      <c r="D55" s="1">
        <f t="shared" si="3"/>
        <v>0</v>
      </c>
      <c r="E55" s="1">
        <f t="shared" si="4"/>
        <v>0</v>
      </c>
    </row>
    <row r="56" spans="1:5">
      <c r="A56">
        <f t="shared" si="0"/>
        <v>43</v>
      </c>
      <c r="B56" s="1">
        <f t="shared" si="1"/>
        <v>0</v>
      </c>
      <c r="C56" s="1">
        <f t="shared" si="2"/>
        <v>0</v>
      </c>
      <c r="D56" s="1">
        <f t="shared" si="3"/>
        <v>0</v>
      </c>
      <c r="E56" s="1">
        <f t="shared" si="4"/>
        <v>0</v>
      </c>
    </row>
    <row r="57" spans="1:5">
      <c r="A57">
        <f t="shared" si="0"/>
        <v>44</v>
      </c>
      <c r="B57" s="1">
        <f t="shared" si="1"/>
        <v>0</v>
      </c>
      <c r="C57" s="1">
        <f t="shared" si="2"/>
        <v>0</v>
      </c>
      <c r="D57" s="1">
        <f t="shared" si="3"/>
        <v>0</v>
      </c>
      <c r="E57" s="1">
        <f t="shared" si="4"/>
        <v>0</v>
      </c>
    </row>
    <row r="58" spans="1:5">
      <c r="A58">
        <f t="shared" si="0"/>
        <v>45</v>
      </c>
      <c r="B58" s="1">
        <f t="shared" si="1"/>
        <v>0</v>
      </c>
      <c r="C58" s="1">
        <f t="shared" si="2"/>
        <v>0</v>
      </c>
      <c r="D58" s="1">
        <f t="shared" si="3"/>
        <v>0</v>
      </c>
      <c r="E58" s="1">
        <f t="shared" si="4"/>
        <v>0</v>
      </c>
    </row>
    <row r="59" spans="1:5">
      <c r="A59">
        <f t="shared" si="0"/>
        <v>46</v>
      </c>
      <c r="B59" s="1">
        <f t="shared" si="1"/>
        <v>0</v>
      </c>
      <c r="C59" s="1">
        <f t="shared" si="2"/>
        <v>0</v>
      </c>
      <c r="D59" s="1">
        <f t="shared" si="3"/>
        <v>0</v>
      </c>
      <c r="E59" s="1">
        <f t="shared" si="4"/>
        <v>0</v>
      </c>
    </row>
    <row r="60" spans="1:5">
      <c r="A60">
        <f t="shared" si="0"/>
        <v>47</v>
      </c>
      <c r="B60" s="1">
        <f t="shared" si="1"/>
        <v>0</v>
      </c>
      <c r="C60" s="1">
        <f t="shared" si="2"/>
        <v>0</v>
      </c>
      <c r="D60" s="1">
        <f t="shared" si="3"/>
        <v>0</v>
      </c>
      <c r="E60" s="1">
        <f t="shared" si="4"/>
        <v>0</v>
      </c>
    </row>
    <row r="61" spans="1:5">
      <c r="A61">
        <f t="shared" si="0"/>
        <v>48</v>
      </c>
      <c r="B61" s="1">
        <f t="shared" si="1"/>
        <v>0</v>
      </c>
      <c r="C61" s="1">
        <f t="shared" si="2"/>
        <v>0</v>
      </c>
      <c r="D61" s="1">
        <f t="shared" si="3"/>
        <v>0</v>
      </c>
      <c r="E61" s="1">
        <f t="shared" si="4"/>
        <v>0</v>
      </c>
    </row>
    <row r="62" spans="1:5">
      <c r="A62">
        <f t="shared" si="0"/>
        <v>49</v>
      </c>
      <c r="B62" s="1">
        <f t="shared" si="1"/>
        <v>0</v>
      </c>
      <c r="C62" s="1">
        <f t="shared" si="2"/>
        <v>0</v>
      </c>
      <c r="D62" s="1">
        <f t="shared" si="3"/>
        <v>0</v>
      </c>
      <c r="E62" s="1">
        <f t="shared" si="4"/>
        <v>0</v>
      </c>
    </row>
    <row r="63" spans="1:5">
      <c r="A63">
        <f t="shared" si="0"/>
        <v>50</v>
      </c>
      <c r="B63" s="1">
        <f t="shared" si="1"/>
        <v>0</v>
      </c>
      <c r="C63" s="1">
        <f t="shared" si="2"/>
        <v>0</v>
      </c>
      <c r="D63" s="1">
        <f t="shared" si="3"/>
        <v>0</v>
      </c>
      <c r="E63" s="1">
        <f t="shared" si="4"/>
        <v>0</v>
      </c>
    </row>
    <row r="64" spans="1:5">
      <c r="A64">
        <f t="shared" si="0"/>
        <v>51</v>
      </c>
      <c r="B64" s="1">
        <f t="shared" si="1"/>
        <v>0</v>
      </c>
      <c r="C64" s="1">
        <f t="shared" si="2"/>
        <v>0</v>
      </c>
      <c r="D64" s="1">
        <f t="shared" si="3"/>
        <v>0</v>
      </c>
      <c r="E64" s="1">
        <f t="shared" si="4"/>
        <v>0</v>
      </c>
    </row>
    <row r="65" spans="1:5">
      <c r="A65">
        <f t="shared" si="0"/>
        <v>52</v>
      </c>
      <c r="B65" s="1">
        <f t="shared" si="1"/>
        <v>0</v>
      </c>
      <c r="C65" s="1">
        <f t="shared" si="2"/>
        <v>0</v>
      </c>
      <c r="D65" s="1">
        <f t="shared" si="3"/>
        <v>0</v>
      </c>
      <c r="E65" s="1">
        <f t="shared" si="4"/>
        <v>0</v>
      </c>
    </row>
    <row r="66" spans="1:5">
      <c r="A66">
        <f t="shared" si="0"/>
        <v>53</v>
      </c>
      <c r="B66" s="1">
        <f t="shared" si="1"/>
        <v>0</v>
      </c>
      <c r="C66" s="1">
        <f t="shared" si="2"/>
        <v>0</v>
      </c>
      <c r="D66" s="1">
        <f t="shared" si="3"/>
        <v>0</v>
      </c>
      <c r="E66" s="1">
        <f t="shared" si="4"/>
        <v>0</v>
      </c>
    </row>
    <row r="67" spans="1:5">
      <c r="A67">
        <f t="shared" si="0"/>
        <v>54</v>
      </c>
      <c r="B67" s="1">
        <f t="shared" si="1"/>
        <v>0</v>
      </c>
      <c r="C67" s="1">
        <f t="shared" si="2"/>
        <v>0</v>
      </c>
      <c r="D67" s="1">
        <f t="shared" si="3"/>
        <v>0</v>
      </c>
      <c r="E67" s="1">
        <f t="shared" si="4"/>
        <v>0</v>
      </c>
    </row>
    <row r="68" spans="1:5">
      <c r="A68">
        <f t="shared" si="0"/>
        <v>55</v>
      </c>
      <c r="B68" s="1">
        <f t="shared" si="1"/>
        <v>0</v>
      </c>
      <c r="C68" s="1">
        <f t="shared" si="2"/>
        <v>0</v>
      </c>
      <c r="D68" s="1">
        <f t="shared" si="3"/>
        <v>0</v>
      </c>
      <c r="E68" s="1">
        <f t="shared" si="4"/>
        <v>0</v>
      </c>
    </row>
    <row r="69" spans="1:5">
      <c r="A69">
        <f t="shared" si="0"/>
        <v>56</v>
      </c>
      <c r="B69" s="1">
        <f t="shared" si="1"/>
        <v>0</v>
      </c>
      <c r="C69" s="1">
        <f t="shared" si="2"/>
        <v>0</v>
      </c>
      <c r="D69" s="1">
        <f t="shared" si="3"/>
        <v>0</v>
      </c>
      <c r="E69" s="1">
        <f t="shared" si="4"/>
        <v>0</v>
      </c>
    </row>
    <row r="70" spans="1:5">
      <c r="A70">
        <f t="shared" si="0"/>
        <v>57</v>
      </c>
      <c r="B70" s="1">
        <f t="shared" si="1"/>
        <v>0</v>
      </c>
      <c r="C70" s="1">
        <f t="shared" si="2"/>
        <v>0</v>
      </c>
      <c r="D70" s="1">
        <f t="shared" si="3"/>
        <v>0</v>
      </c>
      <c r="E70" s="1">
        <f t="shared" si="4"/>
        <v>0</v>
      </c>
    </row>
    <row r="71" spans="1:5">
      <c r="A71">
        <f t="shared" si="0"/>
        <v>58</v>
      </c>
      <c r="B71" s="1">
        <f t="shared" si="1"/>
        <v>0</v>
      </c>
      <c r="C71" s="1">
        <f t="shared" si="2"/>
        <v>0</v>
      </c>
      <c r="D71" s="1">
        <f t="shared" si="3"/>
        <v>0</v>
      </c>
      <c r="E71" s="1">
        <f t="shared" si="4"/>
        <v>0</v>
      </c>
    </row>
    <row r="72" spans="1:5">
      <c r="A72">
        <f t="shared" si="0"/>
        <v>59</v>
      </c>
      <c r="B72" s="1">
        <f t="shared" si="1"/>
        <v>0</v>
      </c>
      <c r="C72" s="1">
        <f t="shared" si="2"/>
        <v>0</v>
      </c>
      <c r="D72" s="1">
        <f t="shared" si="3"/>
        <v>0</v>
      </c>
      <c r="E72" s="1">
        <f t="shared" si="4"/>
        <v>0</v>
      </c>
    </row>
    <row r="73" spans="1:5">
      <c r="A73">
        <f t="shared" si="0"/>
        <v>60</v>
      </c>
      <c r="B73" s="1">
        <f t="shared" si="1"/>
        <v>0</v>
      </c>
      <c r="C73" s="1">
        <f t="shared" si="2"/>
        <v>0</v>
      </c>
      <c r="D73" s="1">
        <f t="shared" si="3"/>
        <v>0</v>
      </c>
      <c r="E73" s="1">
        <f t="shared" si="4"/>
        <v>0</v>
      </c>
    </row>
    <row r="74" spans="1:5">
      <c r="A74">
        <f t="shared" si="0"/>
        <v>61</v>
      </c>
      <c r="B74" s="1">
        <f t="shared" si="1"/>
        <v>0</v>
      </c>
      <c r="C74" s="1">
        <f t="shared" si="2"/>
        <v>0</v>
      </c>
      <c r="D74" s="1">
        <f t="shared" si="3"/>
        <v>0</v>
      </c>
      <c r="E74" s="1">
        <f t="shared" si="4"/>
        <v>0</v>
      </c>
    </row>
    <row r="75" spans="1:5">
      <c r="A75">
        <f t="shared" si="0"/>
        <v>62</v>
      </c>
      <c r="B75" s="1">
        <f t="shared" si="1"/>
        <v>0</v>
      </c>
      <c r="C75" s="1">
        <f t="shared" si="2"/>
        <v>0</v>
      </c>
      <c r="D75" s="1">
        <f t="shared" si="3"/>
        <v>0</v>
      </c>
      <c r="E75" s="1">
        <f t="shared" si="4"/>
        <v>0</v>
      </c>
    </row>
    <row r="76" spans="1:5">
      <c r="A76">
        <f t="shared" si="0"/>
        <v>63</v>
      </c>
      <c r="B76" s="1">
        <f t="shared" si="1"/>
        <v>0</v>
      </c>
      <c r="C76" s="1">
        <f t="shared" si="2"/>
        <v>0</v>
      </c>
      <c r="D76" s="1">
        <f t="shared" si="3"/>
        <v>0</v>
      </c>
      <c r="E76" s="1">
        <f t="shared" si="4"/>
        <v>0</v>
      </c>
    </row>
    <row r="77" spans="1:5">
      <c r="A77">
        <f t="shared" si="0"/>
        <v>64</v>
      </c>
      <c r="B77" s="1">
        <f t="shared" si="1"/>
        <v>0</v>
      </c>
      <c r="C77" s="1">
        <f t="shared" si="2"/>
        <v>0</v>
      </c>
      <c r="D77" s="1">
        <f t="shared" si="3"/>
        <v>0</v>
      </c>
      <c r="E77" s="1">
        <f t="shared" si="4"/>
        <v>0</v>
      </c>
    </row>
    <row r="78" spans="1:5">
      <c r="A78">
        <f t="shared" si="0"/>
        <v>65</v>
      </c>
      <c r="B78" s="1">
        <f t="shared" si="1"/>
        <v>0</v>
      </c>
      <c r="C78" s="1">
        <f t="shared" si="2"/>
        <v>0</v>
      </c>
      <c r="D78" s="1">
        <f t="shared" si="3"/>
        <v>0</v>
      </c>
      <c r="E78" s="1">
        <f t="shared" si="4"/>
        <v>0</v>
      </c>
    </row>
    <row r="79" spans="1:5">
      <c r="A79">
        <f t="shared" si="0"/>
        <v>66</v>
      </c>
      <c r="B79" s="1">
        <f t="shared" si="1"/>
        <v>0</v>
      </c>
      <c r="C79" s="1">
        <f t="shared" si="2"/>
        <v>0</v>
      </c>
      <c r="D79" s="1">
        <f t="shared" si="3"/>
        <v>0</v>
      </c>
      <c r="E79" s="1">
        <f t="shared" si="4"/>
        <v>0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0</v>
      </c>
      <c r="C80" s="1">
        <f t="shared" ref="C80:C143" si="7">IF(A80="","",B80-D80)</f>
        <v>0</v>
      </c>
      <c r="D80" s="1">
        <f t="shared" ref="D80:D143" si="8">IF(A80="","",(E79*($B$6/$B$8)))</f>
        <v>0</v>
      </c>
      <c r="E80" s="1">
        <f t="shared" ref="E80:E143" si="9">IF(A80="","",E79-C80)</f>
        <v>0</v>
      </c>
    </row>
    <row r="81" spans="1:5">
      <c r="A81">
        <f t="shared" si="5"/>
        <v>68</v>
      </c>
      <c r="B81" s="1">
        <f t="shared" si="6"/>
        <v>0</v>
      </c>
      <c r="C81" s="1">
        <f t="shared" si="7"/>
        <v>0</v>
      </c>
      <c r="D81" s="1">
        <f t="shared" si="8"/>
        <v>0</v>
      </c>
      <c r="E81" s="1">
        <f t="shared" si="9"/>
        <v>0</v>
      </c>
    </row>
    <row r="82" spans="1:5">
      <c r="A82">
        <f t="shared" si="5"/>
        <v>69</v>
      </c>
      <c r="B82" s="1">
        <f t="shared" si="6"/>
        <v>0</v>
      </c>
      <c r="C82" s="1">
        <f t="shared" si="7"/>
        <v>0</v>
      </c>
      <c r="D82" s="1">
        <f t="shared" si="8"/>
        <v>0</v>
      </c>
      <c r="E82" s="1">
        <f t="shared" si="9"/>
        <v>0</v>
      </c>
    </row>
    <row r="83" spans="1:5">
      <c r="A83">
        <f t="shared" si="5"/>
        <v>70</v>
      </c>
      <c r="B83" s="1">
        <f t="shared" si="6"/>
        <v>0</v>
      </c>
      <c r="C83" s="1">
        <f t="shared" si="7"/>
        <v>0</v>
      </c>
      <c r="D83" s="1">
        <f t="shared" si="8"/>
        <v>0</v>
      </c>
      <c r="E83" s="1">
        <f t="shared" si="9"/>
        <v>0</v>
      </c>
    </row>
    <row r="84" spans="1:5">
      <c r="A84">
        <f t="shared" si="5"/>
        <v>71</v>
      </c>
      <c r="B84" s="1">
        <f t="shared" si="6"/>
        <v>0</v>
      </c>
      <c r="C84" s="1">
        <f t="shared" si="7"/>
        <v>0</v>
      </c>
      <c r="D84" s="1">
        <f t="shared" si="8"/>
        <v>0</v>
      </c>
      <c r="E84" s="1">
        <f t="shared" si="9"/>
        <v>0</v>
      </c>
    </row>
    <row r="85" spans="1:5">
      <c r="A85">
        <f t="shared" si="5"/>
        <v>72</v>
      </c>
      <c r="B85" s="1">
        <f t="shared" si="6"/>
        <v>0</v>
      </c>
      <c r="C85" s="1">
        <f t="shared" si="7"/>
        <v>0</v>
      </c>
      <c r="D85" s="1">
        <f t="shared" si="8"/>
        <v>0</v>
      </c>
      <c r="E85" s="1">
        <f t="shared" si="9"/>
        <v>0</v>
      </c>
    </row>
    <row r="86" spans="1:5">
      <c r="A86">
        <f t="shared" si="5"/>
        <v>73</v>
      </c>
      <c r="B86" s="1">
        <f t="shared" si="6"/>
        <v>0</v>
      </c>
      <c r="C86" s="1">
        <f t="shared" si="7"/>
        <v>0</v>
      </c>
      <c r="D86" s="1">
        <f t="shared" si="8"/>
        <v>0</v>
      </c>
      <c r="E86" s="1">
        <f t="shared" si="9"/>
        <v>0</v>
      </c>
    </row>
    <row r="87" spans="1:5">
      <c r="A87">
        <f t="shared" si="5"/>
        <v>74</v>
      </c>
      <c r="B87" s="1">
        <f t="shared" si="6"/>
        <v>0</v>
      </c>
      <c r="C87" s="1">
        <f t="shared" si="7"/>
        <v>0</v>
      </c>
      <c r="D87" s="1">
        <f t="shared" si="8"/>
        <v>0</v>
      </c>
      <c r="E87" s="1">
        <f t="shared" si="9"/>
        <v>0</v>
      </c>
    </row>
    <row r="88" spans="1:5">
      <c r="A88">
        <f t="shared" si="5"/>
        <v>75</v>
      </c>
      <c r="B88" s="1">
        <f t="shared" si="6"/>
        <v>0</v>
      </c>
      <c r="C88" s="1">
        <f t="shared" si="7"/>
        <v>0</v>
      </c>
      <c r="D88" s="1">
        <f t="shared" si="8"/>
        <v>0</v>
      </c>
      <c r="E88" s="1">
        <f t="shared" si="9"/>
        <v>0</v>
      </c>
    </row>
    <row r="89" spans="1:5">
      <c r="A89">
        <f t="shared" si="5"/>
        <v>76</v>
      </c>
      <c r="B89" s="1">
        <f t="shared" si="6"/>
        <v>0</v>
      </c>
      <c r="C89" s="1">
        <f t="shared" si="7"/>
        <v>0</v>
      </c>
      <c r="D89" s="1">
        <f t="shared" si="8"/>
        <v>0</v>
      </c>
      <c r="E89" s="1">
        <f t="shared" si="9"/>
        <v>0</v>
      </c>
    </row>
    <row r="90" spans="1:5">
      <c r="A90">
        <f t="shared" si="5"/>
        <v>77</v>
      </c>
      <c r="B90" s="1">
        <f t="shared" si="6"/>
        <v>0</v>
      </c>
      <c r="C90" s="1">
        <f t="shared" si="7"/>
        <v>0</v>
      </c>
      <c r="D90" s="1">
        <f t="shared" si="8"/>
        <v>0</v>
      </c>
      <c r="E90" s="1">
        <f t="shared" si="9"/>
        <v>0</v>
      </c>
    </row>
    <row r="91" spans="1:5">
      <c r="A91">
        <f t="shared" si="5"/>
        <v>78</v>
      </c>
      <c r="B91" s="1">
        <f t="shared" si="6"/>
        <v>0</v>
      </c>
      <c r="C91" s="1">
        <f t="shared" si="7"/>
        <v>0</v>
      </c>
      <c r="D91" s="1">
        <f t="shared" si="8"/>
        <v>0</v>
      </c>
      <c r="E91" s="1">
        <f t="shared" si="9"/>
        <v>0</v>
      </c>
    </row>
    <row r="92" spans="1:5">
      <c r="A92">
        <f t="shared" si="5"/>
        <v>79</v>
      </c>
      <c r="B92" s="1">
        <f t="shared" si="6"/>
        <v>0</v>
      </c>
      <c r="C92" s="1">
        <f t="shared" si="7"/>
        <v>0</v>
      </c>
      <c r="D92" s="1">
        <f t="shared" si="8"/>
        <v>0</v>
      </c>
      <c r="E92" s="1">
        <f t="shared" si="9"/>
        <v>0</v>
      </c>
    </row>
    <row r="93" spans="1:5">
      <c r="A93">
        <f t="shared" si="5"/>
        <v>80</v>
      </c>
      <c r="B93" s="1">
        <f t="shared" si="6"/>
        <v>0</v>
      </c>
      <c r="C93" s="1">
        <f t="shared" si="7"/>
        <v>0</v>
      </c>
      <c r="D93" s="1">
        <f t="shared" si="8"/>
        <v>0</v>
      </c>
      <c r="E93" s="1">
        <f t="shared" si="9"/>
        <v>0</v>
      </c>
    </row>
    <row r="94" spans="1:5">
      <c r="A94">
        <f t="shared" si="5"/>
        <v>81</v>
      </c>
      <c r="B94" s="1">
        <f t="shared" si="6"/>
        <v>0</v>
      </c>
      <c r="C94" s="1">
        <f t="shared" si="7"/>
        <v>0</v>
      </c>
      <c r="D94" s="1">
        <f t="shared" si="8"/>
        <v>0</v>
      </c>
      <c r="E94" s="1">
        <f t="shared" si="9"/>
        <v>0</v>
      </c>
    </row>
    <row r="95" spans="1:5">
      <c r="A95">
        <f t="shared" si="5"/>
        <v>82</v>
      </c>
      <c r="B95" s="1">
        <f t="shared" si="6"/>
        <v>0</v>
      </c>
      <c r="C95" s="1">
        <f t="shared" si="7"/>
        <v>0</v>
      </c>
      <c r="D95" s="1">
        <f t="shared" si="8"/>
        <v>0</v>
      </c>
      <c r="E95" s="1">
        <f t="shared" si="9"/>
        <v>0</v>
      </c>
    </row>
    <row r="96" spans="1:5">
      <c r="A96">
        <f t="shared" si="5"/>
        <v>83</v>
      </c>
      <c r="B96" s="1">
        <f t="shared" si="6"/>
        <v>0</v>
      </c>
      <c r="C96" s="1">
        <f t="shared" si="7"/>
        <v>0</v>
      </c>
      <c r="D96" s="1">
        <f t="shared" si="8"/>
        <v>0</v>
      </c>
      <c r="E96" s="1">
        <f t="shared" si="9"/>
        <v>0</v>
      </c>
    </row>
    <row r="97" spans="1:5">
      <c r="A97">
        <f t="shared" si="5"/>
        <v>84</v>
      </c>
      <c r="B97" s="1">
        <f t="shared" si="6"/>
        <v>0</v>
      </c>
      <c r="C97" s="1">
        <f t="shared" si="7"/>
        <v>0</v>
      </c>
      <c r="D97" s="1">
        <f t="shared" si="8"/>
        <v>0</v>
      </c>
      <c r="E97" s="1">
        <f t="shared" si="9"/>
        <v>0</v>
      </c>
    </row>
    <row r="98" spans="1:5">
      <c r="A98">
        <f t="shared" si="5"/>
        <v>85</v>
      </c>
      <c r="B98" s="1">
        <f t="shared" si="6"/>
        <v>0</v>
      </c>
      <c r="C98" s="1">
        <f t="shared" si="7"/>
        <v>0</v>
      </c>
      <c r="D98" s="1">
        <f t="shared" si="8"/>
        <v>0</v>
      </c>
      <c r="E98" s="1">
        <f t="shared" si="9"/>
        <v>0</v>
      </c>
    </row>
    <row r="99" spans="1:5">
      <c r="A99">
        <f t="shared" si="5"/>
        <v>86</v>
      </c>
      <c r="B99" s="1">
        <f t="shared" si="6"/>
        <v>0</v>
      </c>
      <c r="C99" s="1">
        <f t="shared" si="7"/>
        <v>0</v>
      </c>
      <c r="D99" s="1">
        <f t="shared" si="8"/>
        <v>0</v>
      </c>
      <c r="E99" s="1">
        <f t="shared" si="9"/>
        <v>0</v>
      </c>
    </row>
    <row r="100" spans="1:5">
      <c r="A100">
        <f t="shared" si="5"/>
        <v>87</v>
      </c>
      <c r="B100" s="1">
        <f t="shared" si="6"/>
        <v>0</v>
      </c>
      <c r="C100" s="1">
        <f t="shared" si="7"/>
        <v>0</v>
      </c>
      <c r="D100" s="1">
        <f t="shared" si="8"/>
        <v>0</v>
      </c>
      <c r="E100" s="1">
        <f t="shared" si="9"/>
        <v>0</v>
      </c>
    </row>
    <row r="101" spans="1:5">
      <c r="A101">
        <f t="shared" si="5"/>
        <v>88</v>
      </c>
      <c r="B101" s="1">
        <f t="shared" si="6"/>
        <v>0</v>
      </c>
      <c r="C101" s="1">
        <f t="shared" si="7"/>
        <v>0</v>
      </c>
      <c r="D101" s="1">
        <f t="shared" si="8"/>
        <v>0</v>
      </c>
      <c r="E101" s="1">
        <f t="shared" si="9"/>
        <v>0</v>
      </c>
    </row>
    <row r="102" spans="1:5">
      <c r="A102">
        <f t="shared" si="5"/>
        <v>89</v>
      </c>
      <c r="B102" s="1">
        <f t="shared" si="6"/>
        <v>0</v>
      </c>
      <c r="C102" s="1">
        <f t="shared" si="7"/>
        <v>0</v>
      </c>
      <c r="D102" s="1">
        <f t="shared" si="8"/>
        <v>0</v>
      </c>
      <c r="E102" s="1">
        <f t="shared" si="9"/>
        <v>0</v>
      </c>
    </row>
    <row r="103" spans="1:5">
      <c r="A103">
        <f t="shared" si="5"/>
        <v>90</v>
      </c>
      <c r="B103" s="1">
        <f t="shared" si="6"/>
        <v>0</v>
      </c>
      <c r="C103" s="1">
        <f t="shared" si="7"/>
        <v>0</v>
      </c>
      <c r="D103" s="1">
        <f t="shared" si="8"/>
        <v>0</v>
      </c>
      <c r="E103" s="1">
        <f t="shared" si="9"/>
        <v>0</v>
      </c>
    </row>
    <row r="104" spans="1:5">
      <c r="A104">
        <f t="shared" si="5"/>
        <v>91</v>
      </c>
      <c r="B104" s="1">
        <f t="shared" si="6"/>
        <v>0</v>
      </c>
      <c r="C104" s="1">
        <f t="shared" si="7"/>
        <v>0</v>
      </c>
      <c r="D104" s="1">
        <f t="shared" si="8"/>
        <v>0</v>
      </c>
      <c r="E104" s="1">
        <f t="shared" si="9"/>
        <v>0</v>
      </c>
    </row>
    <row r="105" spans="1:5">
      <c r="A105">
        <f t="shared" si="5"/>
        <v>92</v>
      </c>
      <c r="B105" s="1">
        <f t="shared" si="6"/>
        <v>0</v>
      </c>
      <c r="C105" s="1">
        <f t="shared" si="7"/>
        <v>0</v>
      </c>
      <c r="D105" s="1">
        <f t="shared" si="8"/>
        <v>0</v>
      </c>
      <c r="E105" s="1">
        <f t="shared" si="9"/>
        <v>0</v>
      </c>
    </row>
    <row r="106" spans="1:5">
      <c r="A106">
        <f t="shared" si="5"/>
        <v>93</v>
      </c>
      <c r="B106" s="1">
        <f t="shared" si="6"/>
        <v>0</v>
      </c>
      <c r="C106" s="1">
        <f t="shared" si="7"/>
        <v>0</v>
      </c>
      <c r="D106" s="1">
        <f t="shared" si="8"/>
        <v>0</v>
      </c>
      <c r="E106" s="1">
        <f t="shared" si="9"/>
        <v>0</v>
      </c>
    </row>
    <row r="107" spans="1:5">
      <c r="A107">
        <f t="shared" si="5"/>
        <v>94</v>
      </c>
      <c r="B107" s="1">
        <f t="shared" si="6"/>
        <v>0</v>
      </c>
      <c r="C107" s="1">
        <f t="shared" si="7"/>
        <v>0</v>
      </c>
      <c r="D107" s="1">
        <f t="shared" si="8"/>
        <v>0</v>
      </c>
      <c r="E107" s="1">
        <f t="shared" si="9"/>
        <v>0</v>
      </c>
    </row>
    <row r="108" spans="1:5">
      <c r="A108">
        <f t="shared" si="5"/>
        <v>95</v>
      </c>
      <c r="B108" s="1">
        <f t="shared" si="6"/>
        <v>0</v>
      </c>
      <c r="C108" s="1">
        <f t="shared" si="7"/>
        <v>0</v>
      </c>
      <c r="D108" s="1">
        <f t="shared" si="8"/>
        <v>0</v>
      </c>
      <c r="E108" s="1">
        <f t="shared" si="9"/>
        <v>0</v>
      </c>
    </row>
    <row r="109" spans="1:5">
      <c r="A109">
        <f t="shared" si="5"/>
        <v>96</v>
      </c>
      <c r="B109" s="1">
        <f t="shared" si="6"/>
        <v>0</v>
      </c>
      <c r="C109" s="1">
        <f t="shared" si="7"/>
        <v>0</v>
      </c>
      <c r="D109" s="1">
        <f t="shared" si="8"/>
        <v>0</v>
      </c>
      <c r="E109" s="1">
        <f t="shared" si="9"/>
        <v>0</v>
      </c>
    </row>
    <row r="110" spans="1:5">
      <c r="A110">
        <f t="shared" si="5"/>
        <v>97</v>
      </c>
      <c r="B110" s="1">
        <f t="shared" si="6"/>
        <v>0</v>
      </c>
      <c r="C110" s="1">
        <f t="shared" si="7"/>
        <v>0</v>
      </c>
      <c r="D110" s="1">
        <f t="shared" si="8"/>
        <v>0</v>
      </c>
      <c r="E110" s="1">
        <f t="shared" si="9"/>
        <v>0</v>
      </c>
    </row>
    <row r="111" spans="1:5">
      <c r="A111">
        <f t="shared" si="5"/>
        <v>98</v>
      </c>
      <c r="B111" s="1">
        <f t="shared" si="6"/>
        <v>0</v>
      </c>
      <c r="C111" s="1">
        <f t="shared" si="7"/>
        <v>0</v>
      </c>
      <c r="D111" s="1">
        <f t="shared" si="8"/>
        <v>0</v>
      </c>
      <c r="E111" s="1">
        <f t="shared" si="9"/>
        <v>0</v>
      </c>
    </row>
    <row r="112" spans="1:5">
      <c r="A112">
        <f t="shared" si="5"/>
        <v>99</v>
      </c>
      <c r="B112" s="1">
        <f t="shared" si="6"/>
        <v>0</v>
      </c>
      <c r="C112" s="1">
        <f t="shared" si="7"/>
        <v>0</v>
      </c>
      <c r="D112" s="1">
        <f t="shared" si="8"/>
        <v>0</v>
      </c>
      <c r="E112" s="1">
        <f t="shared" si="9"/>
        <v>0</v>
      </c>
    </row>
    <row r="113" spans="1:5">
      <c r="A113">
        <f t="shared" si="5"/>
        <v>100</v>
      </c>
      <c r="B113" s="1">
        <f t="shared" si="6"/>
        <v>0</v>
      </c>
      <c r="C113" s="1">
        <f t="shared" si="7"/>
        <v>0</v>
      </c>
      <c r="D113" s="1">
        <f t="shared" si="8"/>
        <v>0</v>
      </c>
      <c r="E113" s="1">
        <f t="shared" si="9"/>
        <v>0</v>
      </c>
    </row>
    <row r="114" spans="1:5">
      <c r="A114">
        <f t="shared" si="5"/>
        <v>101</v>
      </c>
      <c r="B114" s="1">
        <f t="shared" si="6"/>
        <v>0</v>
      </c>
      <c r="C114" s="1">
        <f t="shared" si="7"/>
        <v>0</v>
      </c>
      <c r="D114" s="1">
        <f t="shared" si="8"/>
        <v>0</v>
      </c>
      <c r="E114" s="1">
        <f t="shared" si="9"/>
        <v>0</v>
      </c>
    </row>
    <row r="115" spans="1:5">
      <c r="A115">
        <f t="shared" si="5"/>
        <v>102</v>
      </c>
      <c r="B115" s="1">
        <f t="shared" si="6"/>
        <v>0</v>
      </c>
      <c r="C115" s="1">
        <f t="shared" si="7"/>
        <v>0</v>
      </c>
      <c r="D115" s="1">
        <f t="shared" si="8"/>
        <v>0</v>
      </c>
      <c r="E115" s="1">
        <f t="shared" si="9"/>
        <v>0</v>
      </c>
    </row>
    <row r="116" spans="1:5">
      <c r="A116">
        <f t="shared" si="5"/>
        <v>103</v>
      </c>
      <c r="B116" s="1">
        <f t="shared" si="6"/>
        <v>0</v>
      </c>
      <c r="C116" s="1">
        <f t="shared" si="7"/>
        <v>0</v>
      </c>
      <c r="D116" s="1">
        <f t="shared" si="8"/>
        <v>0</v>
      </c>
      <c r="E116" s="1">
        <f t="shared" si="9"/>
        <v>0</v>
      </c>
    </row>
    <row r="117" spans="1:5">
      <c r="A117">
        <f t="shared" si="5"/>
        <v>104</v>
      </c>
      <c r="B117" s="1">
        <f t="shared" si="6"/>
        <v>0</v>
      </c>
      <c r="C117" s="1">
        <f t="shared" si="7"/>
        <v>0</v>
      </c>
      <c r="D117" s="1">
        <f t="shared" si="8"/>
        <v>0</v>
      </c>
      <c r="E117" s="1">
        <f t="shared" si="9"/>
        <v>0</v>
      </c>
    </row>
    <row r="118" spans="1:5">
      <c r="A118">
        <f t="shared" si="5"/>
        <v>105</v>
      </c>
      <c r="B118" s="1">
        <f t="shared" si="6"/>
        <v>0</v>
      </c>
      <c r="C118" s="1">
        <f t="shared" si="7"/>
        <v>0</v>
      </c>
      <c r="D118" s="1">
        <f t="shared" si="8"/>
        <v>0</v>
      </c>
      <c r="E118" s="1">
        <f t="shared" si="9"/>
        <v>0</v>
      </c>
    </row>
    <row r="119" spans="1:5">
      <c r="A119">
        <f t="shared" si="5"/>
        <v>106</v>
      </c>
      <c r="B119" s="1">
        <f t="shared" si="6"/>
        <v>0</v>
      </c>
      <c r="C119" s="1">
        <f t="shared" si="7"/>
        <v>0</v>
      </c>
      <c r="D119" s="1">
        <f t="shared" si="8"/>
        <v>0</v>
      </c>
      <c r="E119" s="1">
        <f t="shared" si="9"/>
        <v>0</v>
      </c>
    </row>
    <row r="120" spans="1:5">
      <c r="A120">
        <f t="shared" si="5"/>
        <v>107</v>
      </c>
      <c r="B120" s="1">
        <f t="shared" si="6"/>
        <v>0</v>
      </c>
      <c r="C120" s="1">
        <f t="shared" si="7"/>
        <v>0</v>
      </c>
      <c r="D120" s="1">
        <f t="shared" si="8"/>
        <v>0</v>
      </c>
      <c r="E120" s="1">
        <f t="shared" si="9"/>
        <v>0</v>
      </c>
    </row>
    <row r="121" spans="1:5">
      <c r="A121">
        <f t="shared" si="5"/>
        <v>108</v>
      </c>
      <c r="B121" s="1">
        <f t="shared" si="6"/>
        <v>0</v>
      </c>
      <c r="C121" s="1">
        <f t="shared" si="7"/>
        <v>0</v>
      </c>
      <c r="D121" s="1">
        <f t="shared" si="8"/>
        <v>0</v>
      </c>
      <c r="E121" s="1">
        <f t="shared" si="9"/>
        <v>0</v>
      </c>
    </row>
    <row r="122" spans="1:5">
      <c r="A122">
        <f t="shared" si="5"/>
        <v>109</v>
      </c>
      <c r="B122" s="1">
        <f t="shared" si="6"/>
        <v>0</v>
      </c>
      <c r="C122" s="1">
        <f t="shared" si="7"/>
        <v>0</v>
      </c>
      <c r="D122" s="1">
        <f t="shared" si="8"/>
        <v>0</v>
      </c>
      <c r="E122" s="1">
        <f t="shared" si="9"/>
        <v>0</v>
      </c>
    </row>
    <row r="123" spans="1:5">
      <c r="A123">
        <f t="shared" si="5"/>
        <v>110</v>
      </c>
      <c r="B123" s="1">
        <f t="shared" si="6"/>
        <v>0</v>
      </c>
      <c r="C123" s="1">
        <f t="shared" si="7"/>
        <v>0</v>
      </c>
      <c r="D123" s="1">
        <f t="shared" si="8"/>
        <v>0</v>
      </c>
      <c r="E123" s="1">
        <f t="shared" si="9"/>
        <v>0</v>
      </c>
    </row>
    <row r="124" spans="1:5">
      <c r="A124">
        <f t="shared" si="5"/>
        <v>111</v>
      </c>
      <c r="B124" s="1">
        <f t="shared" si="6"/>
        <v>0</v>
      </c>
      <c r="C124" s="1">
        <f t="shared" si="7"/>
        <v>0</v>
      </c>
      <c r="D124" s="1">
        <f t="shared" si="8"/>
        <v>0</v>
      </c>
      <c r="E124" s="1">
        <f t="shared" si="9"/>
        <v>0</v>
      </c>
    </row>
    <row r="125" spans="1:5">
      <c r="A125">
        <f t="shared" si="5"/>
        <v>112</v>
      </c>
      <c r="B125" s="1">
        <f t="shared" si="6"/>
        <v>0</v>
      </c>
      <c r="C125" s="1">
        <f t="shared" si="7"/>
        <v>0</v>
      </c>
      <c r="D125" s="1">
        <f t="shared" si="8"/>
        <v>0</v>
      </c>
      <c r="E125" s="1">
        <f t="shared" si="9"/>
        <v>0</v>
      </c>
    </row>
    <row r="126" spans="1:5">
      <c r="A126">
        <f t="shared" si="5"/>
        <v>113</v>
      </c>
      <c r="B126" s="1">
        <f t="shared" si="6"/>
        <v>0</v>
      </c>
      <c r="C126" s="1">
        <f t="shared" si="7"/>
        <v>0</v>
      </c>
      <c r="D126" s="1">
        <f t="shared" si="8"/>
        <v>0</v>
      </c>
      <c r="E126" s="1">
        <f t="shared" si="9"/>
        <v>0</v>
      </c>
    </row>
    <row r="127" spans="1:5">
      <c r="A127">
        <f t="shared" si="5"/>
        <v>114</v>
      </c>
      <c r="B127" s="1">
        <f t="shared" si="6"/>
        <v>0</v>
      </c>
      <c r="C127" s="1">
        <f t="shared" si="7"/>
        <v>0</v>
      </c>
      <c r="D127" s="1">
        <f t="shared" si="8"/>
        <v>0</v>
      </c>
      <c r="E127" s="1">
        <f t="shared" si="9"/>
        <v>0</v>
      </c>
    </row>
    <row r="128" spans="1:5">
      <c r="A128">
        <f t="shared" si="5"/>
        <v>115</v>
      </c>
      <c r="B128" s="1">
        <f t="shared" si="6"/>
        <v>0</v>
      </c>
      <c r="C128" s="1">
        <f t="shared" si="7"/>
        <v>0</v>
      </c>
      <c r="D128" s="1">
        <f t="shared" si="8"/>
        <v>0</v>
      </c>
      <c r="E128" s="1">
        <f t="shared" si="9"/>
        <v>0</v>
      </c>
    </row>
    <row r="129" spans="1:5">
      <c r="A129">
        <f t="shared" si="5"/>
        <v>116</v>
      </c>
      <c r="B129" s="1">
        <f t="shared" si="6"/>
        <v>0</v>
      </c>
      <c r="C129" s="1">
        <f t="shared" si="7"/>
        <v>0</v>
      </c>
      <c r="D129" s="1">
        <f t="shared" si="8"/>
        <v>0</v>
      </c>
      <c r="E129" s="1">
        <f t="shared" si="9"/>
        <v>0</v>
      </c>
    </row>
    <row r="130" spans="1:5">
      <c r="A130">
        <f t="shared" si="5"/>
        <v>117</v>
      </c>
      <c r="B130" s="1">
        <f t="shared" si="6"/>
        <v>0</v>
      </c>
      <c r="C130" s="1">
        <f t="shared" si="7"/>
        <v>0</v>
      </c>
      <c r="D130" s="1">
        <f t="shared" si="8"/>
        <v>0</v>
      </c>
      <c r="E130" s="1">
        <f t="shared" si="9"/>
        <v>0</v>
      </c>
    </row>
    <row r="131" spans="1:5">
      <c r="A131">
        <f t="shared" si="5"/>
        <v>118</v>
      </c>
      <c r="B131" s="1">
        <f t="shared" si="6"/>
        <v>0</v>
      </c>
      <c r="C131" s="1">
        <f t="shared" si="7"/>
        <v>0</v>
      </c>
      <c r="D131" s="1">
        <f t="shared" si="8"/>
        <v>0</v>
      </c>
      <c r="E131" s="1">
        <f t="shared" si="9"/>
        <v>0</v>
      </c>
    </row>
    <row r="132" spans="1:5">
      <c r="A132">
        <f t="shared" si="5"/>
        <v>119</v>
      </c>
      <c r="B132" s="1">
        <f t="shared" si="6"/>
        <v>0</v>
      </c>
      <c r="C132" s="1">
        <f t="shared" si="7"/>
        <v>0</v>
      </c>
      <c r="D132" s="1">
        <f t="shared" si="8"/>
        <v>0</v>
      </c>
      <c r="E132" s="1">
        <f t="shared" si="9"/>
        <v>0</v>
      </c>
    </row>
    <row r="133" spans="1:5">
      <c r="A133">
        <f t="shared" si="5"/>
        <v>120</v>
      </c>
      <c r="B133" s="1">
        <f t="shared" si="6"/>
        <v>0</v>
      </c>
      <c r="C133" s="1">
        <f t="shared" si="7"/>
        <v>0</v>
      </c>
      <c r="D133" s="1">
        <f t="shared" si="8"/>
        <v>0</v>
      </c>
      <c r="E133" s="1">
        <f t="shared" si="9"/>
        <v>0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topLeftCell="A2" workbookViewId="0">
      <selection activeCell="T9" sqref="T9"/>
    </sheetView>
  </sheetViews>
  <sheetFormatPr defaultRowHeight="15"/>
  <cols>
    <col min="5" max="5" width="22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T7" sqref="T7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727602.1541194031</v>
      </c>
      <c r="H7" s="94">
        <f>'Profit and Loss Statement'!F21/'Profit and Loss Statement'!F8</f>
        <v>758283.35426675703</v>
      </c>
      <c r="I7" s="94">
        <f>'Profit and Loss Statement'!G21/'Profit and Loss Statement'!G8</f>
        <v>791852.2469831208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727602.1541194031</v>
      </c>
      <c r="H11" s="114">
        <f t="shared" ref="H11:K11" si="0">H7</f>
        <v>758283.35426675703</v>
      </c>
      <c r="I11" s="114">
        <f t="shared" si="0"/>
        <v>791852.2469831208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W4" sqref="W4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0.1</v>
      </c>
      <c r="H8" s="101">
        <f>'Revenue Overview'!H5</f>
        <v>0.1</v>
      </c>
      <c r="I8" s="128"/>
      <c r="J8" s="128"/>
    </row>
    <row r="9" spans="5:10">
      <c r="E9" s="103" t="s">
        <v>12</v>
      </c>
      <c r="F9" s="104">
        <f>'Profit and Loss Statement'!E8</f>
        <v>0.85697674418604652</v>
      </c>
      <c r="G9" s="104">
        <f>'Profit and Loss Statement'!F8</f>
        <v>0.85697674418604652</v>
      </c>
      <c r="H9" s="101">
        <f>'Profit and Loss Statement'!G8</f>
        <v>0.85697674418604652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0.23176354647871836</v>
      </c>
      <c r="G12" s="101">
        <f>'Profit and Loss Statement'!F28/'Profit and Loss Statement'!F6</f>
        <v>0.25227275960009871</v>
      </c>
      <c r="H12" s="101">
        <f>'Profit and Loss Statement'!G28/'Profit and Loss Statement'!G6</f>
        <v>0.27098676432719454</v>
      </c>
      <c r="I12" s="128"/>
      <c r="J12" s="128"/>
    </row>
    <row r="13" spans="5:10">
      <c r="E13" s="66" t="s">
        <v>92</v>
      </c>
      <c r="F13" s="105">
        <f>'Balance Sheet'!E10/'Balance Sheet'!E15</f>
        <v>607.82805267793537</v>
      </c>
      <c r="G13" s="105">
        <f>'Balance Sheet'!F10/'Balance Sheet'!F15</f>
        <v>314.69607903356768</v>
      </c>
      <c r="H13" s="105">
        <f>'Balance Sheet'!G10/'Balance Sheet'!G15</f>
        <v>219.31899951561752</v>
      </c>
      <c r="I13" s="129"/>
      <c r="J13" s="129"/>
    </row>
    <row r="14" spans="5:10">
      <c r="E14" s="66" t="s">
        <v>93</v>
      </c>
      <c r="F14" s="105">
        <f>'Balance Sheet'!E17/'Balance Sheet'!E15</f>
        <v>606.82805267793537</v>
      </c>
      <c r="G14" s="105">
        <f>'Balance Sheet'!F17/'Balance Sheet'!F15</f>
        <v>313.69607903356768</v>
      </c>
      <c r="H14" s="105">
        <f>'Balance Sheet'!G17/'Balance Sheet'!G15</f>
        <v>218.31899951561752</v>
      </c>
      <c r="I14" s="129"/>
      <c r="J14" s="129"/>
    </row>
    <row r="15" spans="5:10">
      <c r="E15" s="66" t="s">
        <v>94</v>
      </c>
      <c r="F15" s="105">
        <f>'Balance Sheet'!E10/'Balance Sheet'!E17</f>
        <v>1.0016479132689844</v>
      </c>
      <c r="G15" s="105">
        <f>'Balance Sheet'!F10/'Balance Sheet'!F17</f>
        <v>1.0031877988500233</v>
      </c>
      <c r="H15" s="105">
        <f>'Balance Sheet'!G10/'Balance Sheet'!G17</f>
        <v>1.0045804533834375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0.21502609140425158</v>
      </c>
      <c r="G18" s="105">
        <f>'Balance Sheet'!F7/'Balance Sheet'!F10</f>
        <v>0.28365038425472994</v>
      </c>
      <c r="H18" s="105">
        <f>'Balance Sheet'!G7/'Balance Sheet'!G10</f>
        <v>0.35397005678162308</v>
      </c>
      <c r="I18" s="129"/>
      <c r="J18" s="129"/>
    </row>
    <row r="19" spans="5:10">
      <c r="E19" s="66" t="s">
        <v>96</v>
      </c>
      <c r="F19" s="105">
        <f>'Balance Sheet'!E7/'Balance Sheet'!E15</f>
        <v>130.69889041319399</v>
      </c>
      <c r="G19" s="105">
        <f>'Balance Sheet'!F7/'Balance Sheet'!F15</f>
        <v>89.26366374132833</v>
      </c>
      <c r="H19" s="105">
        <f>'Balance Sheet'!G7/'Balance Sheet'!G15</f>
        <v>77.632358711831884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5" sqref="C5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10.140625" bestFit="1" customWidth="1"/>
    <col min="9" max="9" width="10" customWidth="1"/>
    <col min="10" max="11" width="11.7109375" customWidth="1"/>
    <col min="12" max="12" width="21.7109375" customWidth="1"/>
    <col min="13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100000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119</v>
      </c>
      <c r="C6" s="14">
        <v>85000</v>
      </c>
      <c r="G6" s="4" t="str">
        <f>B5</f>
        <v>Senior Management</v>
      </c>
      <c r="H6" s="14">
        <f t="shared" ref="H6:H15" si="0">H18*C5</f>
        <v>100000</v>
      </c>
      <c r="I6" s="14">
        <f t="shared" ref="I6:I15" si="1">D58*I18</f>
        <v>103000</v>
      </c>
      <c r="J6" s="14">
        <f t="shared" ref="J6:J15" si="2">E58*J18</f>
        <v>106090</v>
      </c>
      <c r="M6" s="117"/>
      <c r="N6" s="117"/>
    </row>
    <row r="7" spans="2:14">
      <c r="B7" s="4" t="s">
        <v>128</v>
      </c>
      <c r="C7" s="14">
        <v>55000</v>
      </c>
      <c r="G7" s="4" t="str">
        <f>B6</f>
        <v>Operational Managers</v>
      </c>
      <c r="H7" s="14">
        <f t="shared" si="0"/>
        <v>85000</v>
      </c>
      <c r="I7" s="14">
        <f t="shared" si="1"/>
        <v>87550</v>
      </c>
      <c r="J7" s="14">
        <f t="shared" si="2"/>
        <v>90176.5</v>
      </c>
      <c r="M7" s="117"/>
      <c r="N7" s="117"/>
    </row>
    <row r="8" spans="2:14">
      <c r="B8" s="4" t="s">
        <v>129</v>
      </c>
      <c r="C8" s="14">
        <v>37500</v>
      </c>
      <c r="G8" s="4" t="str">
        <f>B7</f>
        <v>Rental Staff</v>
      </c>
      <c r="H8" s="14">
        <f t="shared" si="0"/>
        <v>165000</v>
      </c>
      <c r="I8" s="14">
        <f t="shared" si="1"/>
        <v>169950</v>
      </c>
      <c r="J8" s="14">
        <f t="shared" si="2"/>
        <v>175048.5</v>
      </c>
      <c r="M8" s="117"/>
      <c r="N8" s="117"/>
    </row>
    <row r="9" spans="2:14">
      <c r="B9" s="4" t="s">
        <v>125</v>
      </c>
      <c r="C9" s="14">
        <v>45000</v>
      </c>
      <c r="G9" s="4" t="str">
        <f>B8</f>
        <v>Vehicle Cleaning Staff</v>
      </c>
      <c r="H9" s="14">
        <f t="shared" si="0"/>
        <v>37500</v>
      </c>
      <c r="I9" s="14">
        <f t="shared" si="1"/>
        <v>38625</v>
      </c>
      <c r="J9" s="14">
        <f t="shared" si="2"/>
        <v>39783.75</v>
      </c>
      <c r="M9" s="117"/>
      <c r="N9" s="117"/>
    </row>
    <row r="10" spans="2:14">
      <c r="B10" s="4" t="s">
        <v>121</v>
      </c>
      <c r="C10" s="14">
        <v>0</v>
      </c>
      <c r="G10" s="4" t="str">
        <f>B9</f>
        <v>Administrative Staff</v>
      </c>
      <c r="H10" s="14">
        <f t="shared" si="0"/>
        <v>45000</v>
      </c>
      <c r="I10" s="14">
        <f t="shared" si="1"/>
        <v>46350</v>
      </c>
      <c r="J10" s="14">
        <f t="shared" si="2"/>
        <v>47740.5</v>
      </c>
      <c r="M10" s="117"/>
      <c r="N10" s="117"/>
    </row>
    <row r="11" spans="2:14">
      <c r="B11" s="4" t="s">
        <v>135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136</v>
      </c>
      <c r="C12" s="14">
        <v>0</v>
      </c>
      <c r="G12" s="4" t="str">
        <f>B30</f>
        <v>Postion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137</v>
      </c>
      <c r="C13" s="14"/>
      <c r="G13" s="4" t="str">
        <f>B31</f>
        <v>Postion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122</v>
      </c>
      <c r="C14" s="14"/>
      <c r="G14" s="4" t="str">
        <f>B32</f>
        <v>Postion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432500</v>
      </c>
      <c r="I16" s="9">
        <f t="shared" ref="I16:J16" si="3">SUM(I6:I15)</f>
        <v>445475</v>
      </c>
      <c r="J16" s="9">
        <f t="shared" si="3"/>
        <v>458839.25</v>
      </c>
      <c r="M16" s="118"/>
      <c r="N16" s="118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Rental Staff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Vehicle Cleaning Staff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0"/>
      <c r="G24" s="4" t="str">
        <f t="shared" si="7"/>
        <v>Postion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 t="shared" ref="B25:B33" si="8"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 t="shared" si="8"/>
        <v>Rental Staff</v>
      </c>
      <c r="C26" s="5">
        <v>3</v>
      </c>
      <c r="D26" s="5">
        <v>3</v>
      </c>
      <c r="E26" s="5">
        <v>3</v>
      </c>
      <c r="F26" s="140"/>
      <c r="G26" s="4" t="str">
        <f t="shared" si="7"/>
        <v>Postion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 t="shared" si="8"/>
        <v>Vehicle Cleaning Staff</v>
      </c>
      <c r="C27" s="5">
        <v>1</v>
      </c>
      <c r="D27" s="5">
        <v>1</v>
      </c>
      <c r="E27" s="5">
        <v>1</v>
      </c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 t="shared" si="8"/>
        <v>Administrative Staff</v>
      </c>
      <c r="C28" s="5">
        <v>1</v>
      </c>
      <c r="D28" s="5">
        <v>1</v>
      </c>
      <c r="E28" s="5">
        <v>1</v>
      </c>
      <c r="F28" s="140"/>
      <c r="G28" s="10" t="s">
        <v>8</v>
      </c>
      <c r="H28" s="10">
        <f>SUM(H18:H27)</f>
        <v>7</v>
      </c>
      <c r="I28" s="10">
        <f t="shared" ref="I28:J28" si="9">SUM(I18:I27)</f>
        <v>7</v>
      </c>
      <c r="J28" s="10">
        <f t="shared" si="9"/>
        <v>7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tr">
        <f t="shared" si="8"/>
        <v>Position 6</v>
      </c>
      <c r="C29" s="5"/>
      <c r="D29" s="5"/>
      <c r="E29" s="5"/>
      <c r="P29" s="115"/>
      <c r="Q29" s="115"/>
      <c r="R29" s="115"/>
      <c r="S29" s="115"/>
      <c r="T29" s="115"/>
    </row>
    <row r="30" spans="2:20">
      <c r="B30" s="15" t="str">
        <f t="shared" si="8"/>
        <v>Postion 7</v>
      </c>
      <c r="C30" s="5"/>
      <c r="D30" s="5"/>
      <c r="E30" s="5"/>
      <c r="P30" s="115"/>
      <c r="Q30" s="115"/>
      <c r="R30" s="115"/>
      <c r="S30" s="115"/>
      <c r="T30" s="115"/>
    </row>
    <row r="31" spans="2:20">
      <c r="B31" s="15" t="str">
        <f t="shared" si="8"/>
        <v>Postion 8</v>
      </c>
      <c r="C31" s="5"/>
      <c r="D31" s="5"/>
      <c r="E31" s="5"/>
      <c r="K31" s="112"/>
      <c r="L31" s="112" t="str">
        <f>G6</f>
        <v>Senior Management</v>
      </c>
      <c r="M31" s="113">
        <f>J6/$J$16</f>
        <v>0.23121387283236994</v>
      </c>
      <c r="N31" s="112"/>
      <c r="O31" s="112"/>
      <c r="P31" s="115"/>
      <c r="Q31" s="115"/>
      <c r="R31" s="115"/>
      <c r="S31" s="115"/>
      <c r="T31" s="115"/>
    </row>
    <row r="32" spans="2:20">
      <c r="B32" s="15" t="str">
        <f t="shared" si="8"/>
        <v>Postion 9</v>
      </c>
      <c r="C32" s="5"/>
      <c r="D32" s="5"/>
      <c r="E32" s="5"/>
      <c r="F32" s="30"/>
      <c r="G32" s="30"/>
      <c r="K32" s="112"/>
      <c r="L32" s="112" t="str">
        <f>G7</f>
        <v>Operational Managers</v>
      </c>
      <c r="M32" s="113">
        <f>J7/$J$16</f>
        <v>0.19653179190751446</v>
      </c>
      <c r="N32" s="112"/>
      <c r="O32" s="112"/>
      <c r="P32" s="115"/>
      <c r="Q32" s="115"/>
      <c r="T32" s="115"/>
    </row>
    <row r="33" spans="2:20">
      <c r="B33" s="15" t="str">
        <f t="shared" si="8"/>
        <v>Position 10</v>
      </c>
      <c r="C33" s="5"/>
      <c r="D33" s="5"/>
      <c r="E33" s="5"/>
      <c r="F33" s="30"/>
      <c r="G33" s="30"/>
      <c r="K33" s="112"/>
      <c r="L33" s="112" t="str">
        <f>G8</f>
        <v>Rental Staff</v>
      </c>
      <c r="M33" s="113">
        <f>J8/$J$16</f>
        <v>0.38150289017341038</v>
      </c>
      <c r="N33" s="112"/>
      <c r="O33" s="112"/>
      <c r="P33" s="115"/>
      <c r="Q33" s="115"/>
      <c r="T33" s="115"/>
    </row>
    <row r="34" spans="2:20">
      <c r="F34" s="43"/>
      <c r="G34" s="43"/>
      <c r="K34" s="112"/>
      <c r="L34" s="112" t="str">
        <f>G9</f>
        <v>Vehicle Cleaning Staff</v>
      </c>
      <c r="M34" s="113">
        <f>J9/$J$16</f>
        <v>8.6705202312138727E-2</v>
      </c>
      <c r="N34" s="112"/>
      <c r="O34" s="112"/>
      <c r="P34" s="115"/>
      <c r="Q34" s="115"/>
      <c r="T34" s="115"/>
    </row>
    <row r="35" spans="2:20">
      <c r="F35" s="43"/>
      <c r="G35" s="43"/>
      <c r="K35" s="112"/>
      <c r="L35" s="112" t="str">
        <f>G10</f>
        <v>Administrative Staff</v>
      </c>
      <c r="M35" s="113">
        <f>J10/$J$16</f>
        <v>0.10404624277456648</v>
      </c>
      <c r="N35" s="112"/>
      <c r="O35" s="112"/>
      <c r="P35" s="115"/>
      <c r="Q35" s="115"/>
      <c r="T35" s="115"/>
    </row>
    <row r="36" spans="2:20">
      <c r="F36" s="43"/>
      <c r="G36" s="43"/>
      <c r="K36" s="112"/>
      <c r="L36" s="112" t="str">
        <f t="shared" ref="L36:L40" si="10">G11</f>
        <v>Position 6</v>
      </c>
      <c r="M36" s="113">
        <f t="shared" ref="M36:M40" si="11">J11/$J$16</f>
        <v>0</v>
      </c>
      <c r="N36" s="112"/>
      <c r="O36" s="112"/>
      <c r="P36" s="115"/>
      <c r="Q36" s="115"/>
      <c r="T36" s="115"/>
    </row>
    <row r="37" spans="2:20">
      <c r="F37" s="43"/>
      <c r="G37" s="43"/>
      <c r="K37" s="112"/>
      <c r="L37" s="112" t="str">
        <f t="shared" si="10"/>
        <v>Postion 7</v>
      </c>
      <c r="M37" s="113">
        <f t="shared" si="11"/>
        <v>0</v>
      </c>
      <c r="N37" s="112"/>
      <c r="O37" s="112"/>
      <c r="P37" s="115"/>
      <c r="Q37" s="115"/>
      <c r="R37" s="115"/>
      <c r="S37" s="116"/>
      <c r="T37" s="115"/>
    </row>
    <row r="38" spans="2:20">
      <c r="F38" s="43"/>
      <c r="G38" s="43"/>
      <c r="K38" s="112"/>
      <c r="L38" s="112" t="str">
        <f t="shared" si="10"/>
        <v>Postion 8</v>
      </c>
      <c r="M38" s="113">
        <f t="shared" si="11"/>
        <v>0</v>
      </c>
      <c r="N38" s="112"/>
      <c r="O38" s="112"/>
      <c r="Q38" s="112"/>
      <c r="R38" s="112"/>
      <c r="S38" s="113"/>
    </row>
    <row r="39" spans="2:20">
      <c r="F39" s="43"/>
      <c r="G39" s="43"/>
      <c r="K39" s="112"/>
      <c r="L39" s="112" t="str">
        <f t="shared" si="10"/>
        <v>Postion 9</v>
      </c>
      <c r="M39" s="113">
        <f t="shared" si="11"/>
        <v>0</v>
      </c>
      <c r="N39" s="112"/>
      <c r="O39" s="112"/>
      <c r="S39" s="111"/>
    </row>
    <row r="40" spans="2:20">
      <c r="F40" s="43"/>
      <c r="G40" s="43"/>
      <c r="K40" s="112"/>
      <c r="L40" s="112" t="str">
        <f t="shared" si="10"/>
        <v>Position 10</v>
      </c>
      <c r="M40" s="113">
        <f t="shared" si="11"/>
        <v>0</v>
      </c>
      <c r="N40" s="112"/>
      <c r="O40" s="112"/>
    </row>
    <row r="41" spans="2:20">
      <c r="F41" s="43"/>
      <c r="G41" s="43"/>
      <c r="K41" s="112"/>
      <c r="L41" s="112"/>
      <c r="M41" s="113"/>
      <c r="N41" s="112"/>
      <c r="O41" s="112"/>
    </row>
    <row r="42" spans="2:20">
      <c r="F42" s="43"/>
      <c r="G42" s="43"/>
      <c r="K42" s="112"/>
      <c r="L42" s="112"/>
      <c r="M42" s="112"/>
      <c r="N42" s="112"/>
      <c r="O42" s="112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100000</v>
      </c>
      <c r="D58" s="14">
        <f>C58*(1+$C$53)</f>
        <v>103000</v>
      </c>
      <c r="E58" s="14">
        <f>D58*(1+$C$53)</f>
        <v>106090</v>
      </c>
      <c r="F58" s="14">
        <f>E58*(1+$C$53)</f>
        <v>109272.7</v>
      </c>
      <c r="G58" s="14">
        <f>F58*(1+$C$53)</f>
        <v>112550.88099999999</v>
      </c>
    </row>
    <row r="59" spans="2:7">
      <c r="B59" s="4" t="str">
        <f t="shared" ref="B59:C67" si="12">B6</f>
        <v>Operational Managers</v>
      </c>
      <c r="C59" s="14">
        <f t="shared" si="12"/>
        <v>85000</v>
      </c>
      <c r="D59" s="14">
        <f t="shared" ref="D59:G59" si="13">C59*(1+$C$53)</f>
        <v>87550</v>
      </c>
      <c r="E59" s="14">
        <f t="shared" si="13"/>
        <v>90176.5</v>
      </c>
      <c r="F59" s="14">
        <f t="shared" si="13"/>
        <v>92881.794999999998</v>
      </c>
      <c r="G59" s="14">
        <f t="shared" si="13"/>
        <v>95668.248850000004</v>
      </c>
    </row>
    <row r="60" spans="2:7">
      <c r="B60" s="4" t="str">
        <f t="shared" si="12"/>
        <v>Rental Staff</v>
      </c>
      <c r="C60" s="14">
        <f t="shared" si="12"/>
        <v>55000</v>
      </c>
      <c r="D60" s="14">
        <f t="shared" ref="D60:G60" si="14">C60*(1+$C$53)</f>
        <v>56650</v>
      </c>
      <c r="E60" s="14">
        <f t="shared" si="14"/>
        <v>58349.5</v>
      </c>
      <c r="F60" s="14">
        <f t="shared" si="14"/>
        <v>60099.985000000001</v>
      </c>
      <c r="G60" s="14">
        <f t="shared" si="14"/>
        <v>61902.984550000001</v>
      </c>
    </row>
    <row r="61" spans="2:7">
      <c r="B61" s="4" t="str">
        <f t="shared" si="12"/>
        <v>Vehicle Cleaning Staff</v>
      </c>
      <c r="C61" s="14">
        <f t="shared" si="12"/>
        <v>37500</v>
      </c>
      <c r="D61" s="14">
        <f t="shared" ref="D61:G61" si="15">C61*(1+$C$53)</f>
        <v>38625</v>
      </c>
      <c r="E61" s="14">
        <f t="shared" si="15"/>
        <v>39783.75</v>
      </c>
      <c r="F61" s="14">
        <f t="shared" si="15"/>
        <v>40977.262500000004</v>
      </c>
      <c r="G61" s="14">
        <f t="shared" si="15"/>
        <v>42206.580375000005</v>
      </c>
    </row>
    <row r="62" spans="2:7">
      <c r="B62" s="4" t="str">
        <f t="shared" si="12"/>
        <v>Administrative Staff</v>
      </c>
      <c r="C62" s="14">
        <f t="shared" si="12"/>
        <v>45000</v>
      </c>
      <c r="D62" s="14">
        <f t="shared" ref="D62:G62" si="16">C62*(1+$C$53)</f>
        <v>46350</v>
      </c>
      <c r="E62" s="14">
        <f t="shared" si="16"/>
        <v>47740.5</v>
      </c>
      <c r="F62" s="14">
        <f t="shared" si="16"/>
        <v>49172.715000000004</v>
      </c>
      <c r="G62" s="14">
        <f t="shared" si="16"/>
        <v>50647.896450000007</v>
      </c>
    </row>
    <row r="63" spans="2:7">
      <c r="B63" s="4" t="str">
        <f t="shared" si="12"/>
        <v>Position 6</v>
      </c>
      <c r="C63" s="14">
        <f t="shared" si="12"/>
        <v>0</v>
      </c>
      <c r="D63" s="14">
        <f t="shared" ref="D63:G63" si="17">C63*(1+$C$53)</f>
        <v>0</v>
      </c>
      <c r="E63" s="14">
        <f t="shared" si="17"/>
        <v>0</v>
      </c>
      <c r="F63" s="14">
        <f t="shared" si="17"/>
        <v>0</v>
      </c>
      <c r="G63" s="14">
        <f t="shared" si="17"/>
        <v>0</v>
      </c>
    </row>
    <row r="64" spans="2:7">
      <c r="B64" s="4" t="str">
        <f t="shared" si="12"/>
        <v>Postion 7</v>
      </c>
      <c r="C64" s="14">
        <f t="shared" si="12"/>
        <v>0</v>
      </c>
      <c r="D64" s="14">
        <f t="shared" ref="D64:G64" si="18">C64*(1+$C$53)</f>
        <v>0</v>
      </c>
      <c r="E64" s="14">
        <f t="shared" si="18"/>
        <v>0</v>
      </c>
      <c r="F64" s="14">
        <f t="shared" si="18"/>
        <v>0</v>
      </c>
      <c r="G64" s="14">
        <f t="shared" si="18"/>
        <v>0</v>
      </c>
    </row>
    <row r="65" spans="2:7">
      <c r="B65" s="4" t="str">
        <f t="shared" si="12"/>
        <v>Postion 8</v>
      </c>
      <c r="C65" s="14">
        <f t="shared" si="12"/>
        <v>0</v>
      </c>
      <c r="D65" s="14">
        <f t="shared" ref="D65:G65" si="19">C65*(1+$C$53)</f>
        <v>0</v>
      </c>
      <c r="E65" s="14">
        <f t="shared" si="19"/>
        <v>0</v>
      </c>
      <c r="F65" s="14">
        <f t="shared" si="19"/>
        <v>0</v>
      </c>
      <c r="G65" s="14">
        <f t="shared" si="19"/>
        <v>0</v>
      </c>
    </row>
    <row r="66" spans="2:7">
      <c r="B66" s="4" t="str">
        <f t="shared" si="12"/>
        <v>Postion 9</v>
      </c>
      <c r="C66" s="14">
        <f t="shared" si="12"/>
        <v>0</v>
      </c>
      <c r="D66" s="14">
        <f t="shared" ref="D66:G66" si="20">C66*(1+$C$53)</f>
        <v>0</v>
      </c>
      <c r="E66" s="14">
        <f t="shared" si="20"/>
        <v>0</v>
      </c>
      <c r="F66" s="14">
        <f t="shared" si="20"/>
        <v>0</v>
      </c>
      <c r="G66" s="14">
        <f t="shared" si="20"/>
        <v>0</v>
      </c>
    </row>
    <row r="67" spans="2:7">
      <c r="B67" s="4" t="str">
        <f t="shared" si="12"/>
        <v>Position 10</v>
      </c>
      <c r="C67" s="14">
        <f t="shared" si="12"/>
        <v>0</v>
      </c>
      <c r="D67" s="14">
        <f t="shared" ref="D67:G67" si="21">C67*(1+$C$53)</f>
        <v>0</v>
      </c>
      <c r="E67" s="14">
        <f t="shared" si="21"/>
        <v>0</v>
      </c>
      <c r="F67" s="14">
        <f t="shared" si="21"/>
        <v>0</v>
      </c>
      <c r="G67" s="14">
        <f t="shared" si="21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U32" sqref="U32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130</v>
      </c>
      <c r="E6" s="6">
        <v>75000</v>
      </c>
    </row>
    <row r="7" spans="4:5">
      <c r="D7" s="21" t="s">
        <v>131</v>
      </c>
      <c r="E7" s="6">
        <v>1150000</v>
      </c>
    </row>
    <row r="8" spans="4:5">
      <c r="D8" s="21" t="s">
        <v>116</v>
      </c>
      <c r="E8" s="6">
        <v>100000</v>
      </c>
    </row>
    <row r="9" spans="4:5">
      <c r="D9" s="21" t="s">
        <v>0</v>
      </c>
      <c r="E9" s="6">
        <v>100000</v>
      </c>
    </row>
    <row r="10" spans="4:5">
      <c r="D10" s="21" t="s">
        <v>132</v>
      </c>
      <c r="E10" s="6">
        <v>50000</v>
      </c>
    </row>
    <row r="11" spans="4:5">
      <c r="D11" s="21" t="s">
        <v>133</v>
      </c>
      <c r="E11" s="6">
        <v>25000</v>
      </c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1500000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1500000</v>
      </c>
    </row>
    <row r="22" spans="4:5">
      <c r="D22" s="4" t="s">
        <v>99</v>
      </c>
      <c r="E22" s="14">
        <v>0</v>
      </c>
    </row>
    <row r="23" spans="4:5">
      <c r="D23" s="4" t="s">
        <v>100</v>
      </c>
      <c r="E23" s="14">
        <f>SUM(E21:E22)</f>
        <v>1500000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U7" sqref="U7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1291419</v>
      </c>
      <c r="F6" s="69">
        <f>'Revenue Overview'!G16</f>
        <v>1420560.9</v>
      </c>
      <c r="G6" s="81">
        <f>'Revenue Overview'!H16</f>
        <v>1562616.9900000002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184702.95</v>
      </c>
      <c r="F7" s="71">
        <f>'Revenue Overview'!G31</f>
        <v>203173.24500000002</v>
      </c>
      <c r="G7" s="80">
        <f>'Revenue Overview'!H31</f>
        <v>223490.56950000004</v>
      </c>
      <c r="H7" s="136"/>
      <c r="I7" s="136"/>
      <c r="J7" s="115"/>
      <c r="K7" s="112" t="s">
        <v>51</v>
      </c>
      <c r="L7" s="114">
        <f>E6</f>
        <v>1291419</v>
      </c>
      <c r="M7" s="114">
        <f>F6</f>
        <v>1420560.9</v>
      </c>
      <c r="N7" s="114">
        <f>G6</f>
        <v>1562616.9900000002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0.85697674418604652</v>
      </c>
      <c r="F8" s="73">
        <f t="shared" ref="F8:G8" si="0">1-(F7/F6)</f>
        <v>0.85697674418604652</v>
      </c>
      <c r="G8" s="133">
        <f t="shared" si="0"/>
        <v>0.85697674418604652</v>
      </c>
      <c r="H8" s="138"/>
      <c r="I8" s="138"/>
      <c r="J8" s="115"/>
      <c r="K8" s="112" t="s">
        <v>76</v>
      </c>
      <c r="L8" s="114">
        <f>E6</f>
        <v>1291419</v>
      </c>
      <c r="M8" s="114">
        <f>F6</f>
        <v>1420560.9</v>
      </c>
      <c r="N8" s="114">
        <f>G6</f>
        <v>1562616.9900000002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1106716.05</v>
      </c>
      <c r="F10" s="76">
        <f t="shared" ref="F10:G10" si="1">F6-F7</f>
        <v>1217387.6549999998</v>
      </c>
      <c r="G10" s="84">
        <f t="shared" si="1"/>
        <v>1339126.4205000002</v>
      </c>
      <c r="H10" s="135"/>
      <c r="I10" s="135"/>
      <c r="J10" s="115"/>
      <c r="K10" s="112" t="s">
        <v>47</v>
      </c>
      <c r="L10" s="114">
        <f>E23</f>
        <v>483177.92489999998</v>
      </c>
      <c r="M10" s="114">
        <f>F23</f>
        <v>567556.45488999982</v>
      </c>
      <c r="N10" s="114">
        <f>G23</f>
        <v>660527.46000400023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483177.92489999998</v>
      </c>
      <c r="M11" s="114">
        <f t="shared" ref="M11:N11" si="2">M10</f>
        <v>567556.45488999982</v>
      </c>
      <c r="N11" s="114">
        <f t="shared" si="2"/>
        <v>660527.46000400023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432500</v>
      </c>
      <c r="F13" s="78">
        <f>'Personnel - Editable'!I16</f>
        <v>445475</v>
      </c>
      <c r="G13" s="78">
        <f>'Personnel - Editable'!J16</f>
        <v>458839.25</v>
      </c>
      <c r="H13" s="136"/>
      <c r="I13" s="136"/>
      <c r="J13" s="115"/>
      <c r="K13" s="112" t="s">
        <v>75</v>
      </c>
      <c r="L13" s="114">
        <f>E21</f>
        <v>623538.12510000006</v>
      </c>
      <c r="M13" s="114">
        <f>F21</f>
        <v>649831.20010999998</v>
      </c>
      <c r="N13" s="114">
        <f>G21</f>
        <v>678598.96049600001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65010</v>
      </c>
      <c r="F14" s="80">
        <f>Inputs!D18</f>
        <v>66960.3</v>
      </c>
      <c r="G14" s="80">
        <f>Inputs!E18</f>
        <v>68969.109000000011</v>
      </c>
      <c r="H14" s="136"/>
      <c r="I14" s="136"/>
      <c r="J14" s="115"/>
      <c r="K14" s="112" t="s">
        <v>78</v>
      </c>
      <c r="L14" s="114">
        <f>E21</f>
        <v>623538.12510000006</v>
      </c>
      <c r="M14" s="114">
        <f>F21</f>
        <v>649831.20010999998</v>
      </c>
      <c r="N14" s="114">
        <f>G21</f>
        <v>678598.96049600001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20275.278299999998</v>
      </c>
      <c r="F15" s="78">
        <f>Inputs!D19</f>
        <v>22302.806129999997</v>
      </c>
      <c r="G15" s="78">
        <f>Inputs!E19</f>
        <v>24533.086743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19629.568800000001</v>
      </c>
      <c r="F16" s="80">
        <f>Inputs!D20</f>
        <v>21592.525679999999</v>
      </c>
      <c r="G16" s="80">
        <f>Inputs!E20</f>
        <v>23751.778248000002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25950</v>
      </c>
      <c r="F17" s="78">
        <f>Inputs!D21</f>
        <v>26728.5</v>
      </c>
      <c r="G17" s="78">
        <f>Inputs!E21</f>
        <v>27530.355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15497.028</v>
      </c>
      <c r="F18" s="80">
        <f>Inputs!D22</f>
        <v>17046.730799999998</v>
      </c>
      <c r="G18" s="80">
        <f>Inputs!E22</f>
        <v>18751.403880000002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11590</v>
      </c>
      <c r="F19" s="78">
        <f>Inputs!D23</f>
        <v>15646.500000000002</v>
      </c>
      <c r="G19" s="78">
        <f>Inputs!E23</f>
        <v>21122.775000000005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33086.25</v>
      </c>
      <c r="F20" s="80">
        <f>F13*'Tax Assumptions '!G9</f>
        <v>34078.837500000001</v>
      </c>
      <c r="G20" s="80">
        <f>G13*'Tax Assumptions '!H9</f>
        <v>35101.202624999998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623538.12510000006</v>
      </c>
      <c r="F21" s="81">
        <f t="shared" ref="F21:G21" si="3">SUM(F13:F20)</f>
        <v>649831.20010999998</v>
      </c>
      <c r="G21" s="81">
        <f t="shared" si="3"/>
        <v>678598.96049600001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483177.92489999998</v>
      </c>
      <c r="F23" s="83">
        <f t="shared" ref="F23:G23" si="4">F10-F21</f>
        <v>567556.45488999982</v>
      </c>
      <c r="G23" s="83">
        <f t="shared" si="4"/>
        <v>660527.46000400023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106894.231225</v>
      </c>
      <c r="F24" s="78">
        <f>(F23-F26-F27)*'Tax Assumptions '!G7</f>
        <v>127988.86372249995</v>
      </c>
      <c r="G24" s="78">
        <f>(G23-G26-G27)*'Tax Assumptions '!H7</f>
        <v>151231.61500100006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21378.846245000001</v>
      </c>
      <c r="F25" s="80">
        <f>(F23-F26-F27)*'Tax Assumptions '!G8</f>
        <v>25597.772744499991</v>
      </c>
      <c r="G25" s="80">
        <f>(G23-G26-G27)*'Tax Assumptions '!H8</f>
        <v>30246.323000200013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0</v>
      </c>
      <c r="F26" s="78">
        <f>SUM('Loan Amortization Table'!D26:D37)</f>
        <v>0</v>
      </c>
      <c r="G26" s="78">
        <f>SUM('Loan Amortization Table'!D38:D49)</f>
        <v>0</v>
      </c>
      <c r="H26" s="127"/>
      <c r="I26" s="127"/>
    </row>
    <row r="27" spans="4:21">
      <c r="D27" s="70" t="s">
        <v>54</v>
      </c>
      <c r="E27" s="80">
        <v>55601</v>
      </c>
      <c r="F27" s="80">
        <v>55601</v>
      </c>
      <c r="G27" s="80">
        <v>55601</v>
      </c>
      <c r="H27" s="127"/>
      <c r="I27" s="127"/>
    </row>
    <row r="28" spans="4:21">
      <c r="D28" s="82" t="s">
        <v>17</v>
      </c>
      <c r="E28" s="83">
        <f>E23-SUM(E24:E27)</f>
        <v>299303.84742999997</v>
      </c>
      <c r="F28" s="83">
        <f t="shared" ref="F28:G28" si="5">F23-SUM(F24:F27)</f>
        <v>358368.81842299987</v>
      </c>
      <c r="G28" s="83">
        <f t="shared" si="5"/>
        <v>423448.52200280013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1291419</v>
      </c>
      <c r="F32" s="69">
        <f t="shared" ref="F32:G32" si="6">F6</f>
        <v>1420560.9</v>
      </c>
      <c r="G32" s="81">
        <f t="shared" si="6"/>
        <v>1562616.9900000002</v>
      </c>
      <c r="H32" s="131"/>
      <c r="I32" s="131"/>
    </row>
    <row r="33" spans="4:13">
      <c r="D33" s="70" t="s">
        <v>52</v>
      </c>
      <c r="E33" s="71">
        <f>E7</f>
        <v>184702.95</v>
      </c>
      <c r="F33" s="71">
        <f t="shared" ref="F33:G33" si="7">F7</f>
        <v>203173.24500000002</v>
      </c>
      <c r="G33" s="80">
        <f t="shared" si="7"/>
        <v>223490.56950000004</v>
      </c>
      <c r="H33" s="127"/>
      <c r="I33" s="127"/>
    </row>
    <row r="34" spans="4:13">
      <c r="D34" s="68" t="s">
        <v>10</v>
      </c>
      <c r="E34" s="69">
        <f>E10</f>
        <v>1106716.05</v>
      </c>
      <c r="F34" s="69">
        <f t="shared" ref="F34:G34" si="8">F10</f>
        <v>1217387.6549999998</v>
      </c>
      <c r="G34" s="81">
        <f t="shared" si="8"/>
        <v>1339126.4205000002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623538.12510000006</v>
      </c>
      <c r="F35" s="84">
        <f t="shared" ref="F35:G35" si="9">F21</f>
        <v>649831.20010999998</v>
      </c>
      <c r="G35" s="84">
        <f t="shared" si="9"/>
        <v>678598.96049600001</v>
      </c>
      <c r="H35" s="131"/>
      <c r="I35" s="131"/>
    </row>
    <row r="36" spans="4:13">
      <c r="D36" s="82" t="s">
        <v>47</v>
      </c>
      <c r="E36" s="83">
        <f>E23</f>
        <v>483177.92489999998</v>
      </c>
      <c r="F36" s="83">
        <f t="shared" ref="F36:G36" si="10">F23</f>
        <v>567556.45488999982</v>
      </c>
      <c r="G36" s="83">
        <f t="shared" si="10"/>
        <v>660527.46000400023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7" sqref="U7"/>
    </sheetView>
  </sheetViews>
  <sheetFormatPr defaultRowHeight="15"/>
  <cols>
    <col min="4" max="4" width="24.85546875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354904.84742999997</v>
      </c>
      <c r="F6" s="81">
        <f>'Profit and Loss Statement'!F28+'Profit and Loss Statement'!F27</f>
        <v>413969.81842299987</v>
      </c>
      <c r="G6" s="81">
        <f>'Profit and Loss Statement'!G28+'Profit and Loss Statement'!G27</f>
        <v>479049.52200280013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1500000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8519</v>
      </c>
      <c r="F11" s="78">
        <f>E11*1.02</f>
        <v>8689.380000000001</v>
      </c>
      <c r="G11" s="78">
        <f>F11*1.02</f>
        <v>8863.1676000000007</v>
      </c>
      <c r="H11" s="127"/>
      <c r="I11" s="127"/>
    </row>
    <row r="12" spans="4:9">
      <c r="D12" s="75" t="s">
        <v>23</v>
      </c>
      <c r="E12" s="89">
        <f>SUM(E9:E11)</f>
        <v>1508519</v>
      </c>
      <c r="F12" s="89">
        <f t="shared" ref="F12:G12" si="0">SUM(F9:F11)</f>
        <v>8689.380000000001</v>
      </c>
      <c r="G12" s="89">
        <f t="shared" si="0"/>
        <v>8863.1676000000007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1863423.8474300001</v>
      </c>
      <c r="F15" s="90">
        <f t="shared" ref="F15:G15" si="1">F12+F6</f>
        <v>422659.19842299988</v>
      </c>
      <c r="G15" s="90">
        <f t="shared" si="1"/>
        <v>487912.68960280012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0</v>
      </c>
      <c r="F18" s="80">
        <f>SUM('Loan Amortization Table'!C26:C37)</f>
        <v>0</v>
      </c>
      <c r="G18" s="80">
        <f>SUM('Loan Amortization Table'!C38:C49)</f>
        <v>0</v>
      </c>
      <c r="H18" s="127"/>
      <c r="I18" s="127"/>
    </row>
    <row r="19" spans="4:9">
      <c r="D19" s="72" t="s">
        <v>25</v>
      </c>
      <c r="E19" s="78">
        <f>E11*0.7</f>
        <v>5963.2999999999993</v>
      </c>
      <c r="F19" s="78">
        <f t="shared" ref="F19:G19" si="2">F11*0.7</f>
        <v>6082.5660000000007</v>
      </c>
      <c r="G19" s="78">
        <f t="shared" si="2"/>
        <v>6204.2173199999997</v>
      </c>
      <c r="H19" s="127"/>
      <c r="I19" s="127"/>
    </row>
    <row r="20" spans="4:9">
      <c r="D20" s="70" t="s">
        <v>33</v>
      </c>
      <c r="E20" s="80">
        <f>'Use of Funds'!$E$6+'Use of Funds'!$E$7+'Use of Funds'!$E$10</f>
        <v>1275000</v>
      </c>
      <c r="F20" s="80">
        <v>0</v>
      </c>
      <c r="G20" s="80">
        <v>0</v>
      </c>
      <c r="H20" s="127"/>
      <c r="I20" s="127"/>
    </row>
    <row r="21" spans="4:9">
      <c r="D21" s="72" t="s">
        <v>32</v>
      </c>
      <c r="E21" s="78">
        <f>E6*0.7</f>
        <v>248433.39320099997</v>
      </c>
      <c r="F21" s="78">
        <f t="shared" ref="F21:G21" si="3">F6*0.7</f>
        <v>289778.87289609987</v>
      </c>
      <c r="G21" s="78">
        <f t="shared" si="3"/>
        <v>335334.66540196008</v>
      </c>
      <c r="H21" s="127"/>
      <c r="I21" s="127"/>
    </row>
    <row r="22" spans="4:9">
      <c r="D22" s="75" t="s">
        <v>26</v>
      </c>
      <c r="E22" s="84">
        <f>SUM(E18:E21)</f>
        <v>1529396.6932010001</v>
      </c>
      <c r="F22" s="84">
        <f t="shared" ref="F22:G22" si="4">SUM(F18:F21)</f>
        <v>295861.43889609986</v>
      </c>
      <c r="G22" s="84">
        <f t="shared" si="4"/>
        <v>341538.88272196008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334027.15422899998</v>
      </c>
      <c r="F24" s="91">
        <f t="shared" ref="F24:G24" si="5">F15-F22</f>
        <v>126797.75952690002</v>
      </c>
      <c r="G24" s="91">
        <f t="shared" si="5"/>
        <v>146373.80688084004</v>
      </c>
      <c r="H24" s="132"/>
      <c r="I24" s="132"/>
    </row>
    <row r="25" spans="4:9">
      <c r="D25" s="82" t="s">
        <v>6</v>
      </c>
      <c r="E25" s="91">
        <f>E24</f>
        <v>334027.15422899998</v>
      </c>
      <c r="F25" s="91">
        <f>E25+F24</f>
        <v>460824.91375589999</v>
      </c>
      <c r="G25" s="91">
        <f>F25+G24</f>
        <v>607198.72063674009</v>
      </c>
      <c r="H25" s="132"/>
      <c r="I25" s="132"/>
    </row>
    <row r="28" spans="4:9">
      <c r="D28" s="112" t="s">
        <v>79</v>
      </c>
      <c r="E28" s="114">
        <f>E6</f>
        <v>354904.84742999997</v>
      </c>
      <c r="F28" s="114">
        <f t="shared" ref="F28:G28" si="6">F6</f>
        <v>413969.81842299987</v>
      </c>
      <c r="G28" s="114">
        <f t="shared" si="6"/>
        <v>479049.52200280013</v>
      </c>
      <c r="H28" s="1"/>
      <c r="I28" s="1"/>
    </row>
    <row r="29" spans="4:9">
      <c r="D29" s="112" t="s">
        <v>80</v>
      </c>
      <c r="E29" s="114">
        <f>E18</f>
        <v>0</v>
      </c>
      <c r="F29" s="114">
        <f t="shared" ref="F29:G29" si="7">F18</f>
        <v>0</v>
      </c>
      <c r="G29" s="114">
        <f t="shared" si="7"/>
        <v>0</v>
      </c>
      <c r="H29" s="1"/>
      <c r="I29" s="1"/>
    </row>
    <row r="30" spans="4:9">
      <c r="D30" s="112" t="s">
        <v>81</v>
      </c>
      <c r="E30" s="114">
        <f>E21</f>
        <v>248433.39320099997</v>
      </c>
      <c r="F30" s="114">
        <f t="shared" ref="F30:G30" si="8">F21</f>
        <v>289778.87289609987</v>
      </c>
      <c r="G30" s="114">
        <f t="shared" si="8"/>
        <v>335334.66540196008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S12" sqref="S12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334027.15422899998</v>
      </c>
      <c r="F7" s="78">
        <f>'Cash Flow Analysis'!F25</f>
        <v>460824.91375589999</v>
      </c>
      <c r="G7" s="78">
        <f>'Cash Flow Analysis'!G25</f>
        <v>607198.72063674009</v>
      </c>
      <c r="H7" s="127"/>
      <c r="I7" s="127"/>
    </row>
    <row r="8" spans="4:9">
      <c r="D8" s="66" t="s">
        <v>123</v>
      </c>
      <c r="E8" s="94">
        <f>'Cash Flow Analysis'!E20</f>
        <v>1275000</v>
      </c>
      <c r="F8" s="94">
        <f>E8+'Cash Flow Analysis'!F20</f>
        <v>1275000</v>
      </c>
      <c r="G8" s="94">
        <f>F8+'Cash Flow Analysis'!G20</f>
        <v>1275000</v>
      </c>
      <c r="H8" s="127"/>
      <c r="I8" s="127"/>
    </row>
    <row r="9" spans="4:9">
      <c r="D9" s="72" t="s">
        <v>48</v>
      </c>
      <c r="E9" s="87">
        <f>-'Profit and Loss Statement'!E27</f>
        <v>-55601</v>
      </c>
      <c r="F9" s="87">
        <f>E9-'Profit and Loss Statement'!F27</f>
        <v>-111202</v>
      </c>
      <c r="G9" s="87">
        <f>F9-'Profit and Loss Statement'!G27</f>
        <v>-166803</v>
      </c>
      <c r="H9" s="130"/>
      <c r="I9" s="130"/>
    </row>
    <row r="10" spans="4:9">
      <c r="D10" s="95" t="s">
        <v>7</v>
      </c>
      <c r="E10" s="96">
        <f>SUM(E7:E9)</f>
        <v>1553426.154229</v>
      </c>
      <c r="F10" s="96">
        <f t="shared" ref="F10:G10" si="0">SUM(F7:F9)</f>
        <v>1624622.9137559</v>
      </c>
      <c r="G10" s="96">
        <f t="shared" si="0"/>
        <v>1715395.7206367401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2555.7000000000007</v>
      </c>
      <c r="F13" s="78">
        <f>E13+('Cash Flow Analysis'!F11-'Cash Flow Analysis'!F19)</f>
        <v>5162.514000000001</v>
      </c>
      <c r="G13" s="78">
        <f>F13+('Cash Flow Analysis'!G11-'Cash Flow Analysis'!G19)</f>
        <v>7821.464280000002</v>
      </c>
      <c r="H13" s="127"/>
      <c r="I13" s="127"/>
    </row>
    <row r="14" spans="4:9">
      <c r="D14" s="66" t="s">
        <v>73</v>
      </c>
      <c r="E14" s="94">
        <f>'Loan Amortization Table'!E25</f>
        <v>0</v>
      </c>
      <c r="F14" s="94">
        <f>'Loan Amortization Table'!E37</f>
        <v>0</v>
      </c>
      <c r="G14" s="94">
        <f>'Loan Amortization Table'!E49</f>
        <v>0</v>
      </c>
      <c r="H14" s="127"/>
      <c r="I14" s="127"/>
    </row>
    <row r="15" spans="4:9">
      <c r="D15" s="68" t="s">
        <v>30</v>
      </c>
      <c r="E15" s="81">
        <f>SUM(E13:E14)</f>
        <v>2555.7000000000007</v>
      </c>
      <c r="F15" s="81">
        <f t="shared" ref="F15:G15" si="1">SUM(F13:F14)</f>
        <v>5162.514000000001</v>
      </c>
      <c r="G15" s="81">
        <f t="shared" si="1"/>
        <v>7821.464280000002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1550870.454229</v>
      </c>
      <c r="F17" s="83">
        <f t="shared" ref="F17:G17" si="2">F10-F15</f>
        <v>1619460.3997559</v>
      </c>
      <c r="G17" s="83">
        <f t="shared" si="2"/>
        <v>1707574.2563567401</v>
      </c>
      <c r="H17" s="131"/>
      <c r="I17" s="131"/>
    </row>
    <row r="18" spans="4:9">
      <c r="D18" s="82" t="s">
        <v>31</v>
      </c>
      <c r="E18" s="83">
        <f>E15+E17</f>
        <v>1553426.154229</v>
      </c>
      <c r="F18" s="83">
        <f t="shared" ref="F18:G18" si="3">F15+F17</f>
        <v>1624622.9137559</v>
      </c>
      <c r="G18" s="83">
        <f t="shared" si="3"/>
        <v>1715395.7206367401</v>
      </c>
      <c r="H18" s="131"/>
      <c r="I18" s="131"/>
    </row>
    <row r="21" spans="4:9">
      <c r="D21" s="112" t="s">
        <v>82</v>
      </c>
      <c r="E21" s="114">
        <f>E10-1</f>
        <v>1553425.154229</v>
      </c>
      <c r="F21" s="114">
        <f t="shared" ref="F21:G21" si="4">F10-1</f>
        <v>1624621.9137559</v>
      </c>
      <c r="G21" s="114">
        <f t="shared" si="4"/>
        <v>1715394.7206367401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2555.7000000000007</v>
      </c>
      <c r="F22" s="114">
        <f t="shared" ref="F22:G22" si="6">F15</f>
        <v>5162.514000000001</v>
      </c>
      <c r="G22" s="114">
        <f t="shared" si="6"/>
        <v>7821.464280000002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1550870.454229</v>
      </c>
      <c r="F23" s="114">
        <f t="shared" ref="F23:G23" si="8">F17</f>
        <v>1619460.3997559</v>
      </c>
      <c r="G23" s="114">
        <f t="shared" si="8"/>
        <v>1707574.2563567401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U7" sqref="U7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107500</v>
      </c>
      <c r="D6" s="6">
        <f>Inputs!D42</f>
        <v>107521.5</v>
      </c>
      <c r="E6" s="6">
        <f>Inputs!E42</f>
        <v>107543</v>
      </c>
      <c r="F6" s="6">
        <f>Inputs!F42</f>
        <v>107564.5</v>
      </c>
      <c r="G6" s="6">
        <f>Inputs!G42</f>
        <v>107586</v>
      </c>
      <c r="H6" s="6">
        <f>Inputs!H42</f>
        <v>107607.5</v>
      </c>
      <c r="I6" s="6">
        <f>Inputs!I42</f>
        <v>107629</v>
      </c>
    </row>
    <row r="7" spans="2:9">
      <c r="B7" s="31" t="s">
        <v>52</v>
      </c>
      <c r="C7" s="6">
        <f>Inputs!C61</f>
        <v>15375</v>
      </c>
      <c r="D7" s="6">
        <f>Inputs!D61</f>
        <v>15378.075000000001</v>
      </c>
      <c r="E7" s="6">
        <f>Inputs!E61</f>
        <v>15381.15</v>
      </c>
      <c r="F7" s="6">
        <f>Inputs!F61</f>
        <v>15384.225</v>
      </c>
      <c r="G7" s="6">
        <f>Inputs!G61</f>
        <v>15387.3</v>
      </c>
      <c r="H7" s="6">
        <f>Inputs!H61</f>
        <v>15390.375</v>
      </c>
      <c r="I7" s="6">
        <f>Inputs!I61</f>
        <v>15393.45</v>
      </c>
    </row>
    <row r="8" spans="2:9">
      <c r="B8" s="29" t="s">
        <v>12</v>
      </c>
      <c r="C8" s="17">
        <f>1-(C7/C6)</f>
        <v>0.85697674418604652</v>
      </c>
      <c r="D8" s="17">
        <f t="shared" ref="D8:I8" si="1">1-(D7/D6)</f>
        <v>0.85697674418604652</v>
      </c>
      <c r="E8" s="17">
        <f t="shared" si="1"/>
        <v>0.85697674418604652</v>
      </c>
      <c r="F8" s="17">
        <f t="shared" si="1"/>
        <v>0.85697674418604652</v>
      </c>
      <c r="G8" s="17">
        <f t="shared" si="1"/>
        <v>0.85697674418604652</v>
      </c>
      <c r="H8" s="17">
        <f t="shared" si="1"/>
        <v>0.85697674418604652</v>
      </c>
      <c r="I8" s="17">
        <f t="shared" si="1"/>
        <v>0.85697674418604652</v>
      </c>
    </row>
    <row r="9" spans="2:9">
      <c r="B9" s="30"/>
    </row>
    <row r="10" spans="2:9">
      <c r="B10" s="37" t="s">
        <v>10</v>
      </c>
      <c r="C10" s="6">
        <f>C6-C7</f>
        <v>92125</v>
      </c>
      <c r="D10" s="6">
        <f t="shared" ref="D10:I10" si="2">D6-D7</f>
        <v>92143.425000000003</v>
      </c>
      <c r="E10" s="6">
        <f t="shared" si="2"/>
        <v>92161.85</v>
      </c>
      <c r="F10" s="6">
        <f t="shared" si="2"/>
        <v>92180.274999999994</v>
      </c>
      <c r="G10" s="6">
        <f t="shared" si="2"/>
        <v>92198.7</v>
      </c>
      <c r="H10" s="6">
        <f t="shared" si="2"/>
        <v>92217.125</v>
      </c>
      <c r="I10" s="6">
        <f t="shared" si="2"/>
        <v>92235.55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36041.666666666664</v>
      </c>
      <c r="D13" s="6">
        <f t="shared" ref="D13:I13" si="3">$H$41/12</f>
        <v>36041.666666666664</v>
      </c>
      <c r="E13" s="6">
        <f t="shared" si="3"/>
        <v>36041.666666666664</v>
      </c>
      <c r="F13" s="6">
        <f t="shared" si="3"/>
        <v>36041.666666666664</v>
      </c>
      <c r="G13" s="6">
        <f t="shared" si="3"/>
        <v>36041.666666666664</v>
      </c>
      <c r="H13" s="6">
        <f t="shared" si="3"/>
        <v>36041.666666666664</v>
      </c>
      <c r="I13" s="6">
        <f t="shared" si="3"/>
        <v>36041.666666666664</v>
      </c>
    </row>
    <row r="14" spans="2:9">
      <c r="B14" s="33" t="str">
        <f>'Profit and Loss Statement'!D14</f>
        <v>Facility Costs</v>
      </c>
      <c r="C14" s="6">
        <f>$H$42/12</f>
        <v>5417.5</v>
      </c>
      <c r="D14" s="6">
        <f t="shared" ref="D14:I14" si="4">$H$42/12</f>
        <v>5417.5</v>
      </c>
      <c r="E14" s="6">
        <f t="shared" si="4"/>
        <v>5417.5</v>
      </c>
      <c r="F14" s="6">
        <f t="shared" si="4"/>
        <v>5417.5</v>
      </c>
      <c r="G14" s="6">
        <f t="shared" si="4"/>
        <v>5417.5</v>
      </c>
      <c r="H14" s="6">
        <f t="shared" si="4"/>
        <v>5417.5</v>
      </c>
      <c r="I14" s="6">
        <f t="shared" si="4"/>
        <v>5417.5</v>
      </c>
    </row>
    <row r="15" spans="2:9">
      <c r="B15" s="33" t="str">
        <f>'Profit and Loss Statement'!D15</f>
        <v>General and Administrative</v>
      </c>
      <c r="C15" s="6">
        <f>$H$43/12</f>
        <v>1689.6065249999999</v>
      </c>
      <c r="D15" s="6">
        <f t="shared" ref="D15:I15" si="5">$H$43/12</f>
        <v>1689.6065249999999</v>
      </c>
      <c r="E15" s="6">
        <f t="shared" si="5"/>
        <v>1689.6065249999999</v>
      </c>
      <c r="F15" s="6">
        <f t="shared" si="5"/>
        <v>1689.6065249999999</v>
      </c>
      <c r="G15" s="6">
        <f t="shared" si="5"/>
        <v>1689.6065249999999</v>
      </c>
      <c r="H15" s="6">
        <f t="shared" si="5"/>
        <v>1689.6065249999999</v>
      </c>
      <c r="I15" s="6">
        <f t="shared" si="5"/>
        <v>1689.6065249999999</v>
      </c>
    </row>
    <row r="16" spans="2:9">
      <c r="B16" s="33" t="str">
        <f>'Profit and Loss Statement'!D16</f>
        <v>Equipment Costs</v>
      </c>
      <c r="C16" s="6">
        <f>$H$44/12</f>
        <v>1635.7974000000002</v>
      </c>
      <c r="D16" s="6">
        <f t="shared" ref="D16:I16" si="6">$H$44/12</f>
        <v>1635.7974000000002</v>
      </c>
      <c r="E16" s="6">
        <f t="shared" si="6"/>
        <v>1635.7974000000002</v>
      </c>
      <c r="F16" s="6">
        <f t="shared" si="6"/>
        <v>1635.7974000000002</v>
      </c>
      <c r="G16" s="6">
        <f t="shared" si="6"/>
        <v>1635.7974000000002</v>
      </c>
      <c r="H16" s="6">
        <f t="shared" si="6"/>
        <v>1635.7974000000002</v>
      </c>
      <c r="I16" s="6">
        <f t="shared" si="6"/>
        <v>1635.7974000000002</v>
      </c>
    </row>
    <row r="17" spans="2:9">
      <c r="B17" s="33" t="str">
        <f>'Profit and Loss Statement'!D17</f>
        <v>Insurance Costs</v>
      </c>
      <c r="C17" s="6">
        <f>$H$45/12</f>
        <v>2162.5</v>
      </c>
      <c r="D17" s="6">
        <f t="shared" ref="D17:I17" si="7">$H$45/12</f>
        <v>2162.5</v>
      </c>
      <c r="E17" s="6">
        <f t="shared" si="7"/>
        <v>2162.5</v>
      </c>
      <c r="F17" s="6">
        <f t="shared" si="7"/>
        <v>2162.5</v>
      </c>
      <c r="G17" s="6">
        <f t="shared" si="7"/>
        <v>2162.5</v>
      </c>
      <c r="H17" s="6">
        <f t="shared" si="7"/>
        <v>2162.5</v>
      </c>
      <c r="I17" s="6">
        <f t="shared" si="7"/>
        <v>2162.5</v>
      </c>
    </row>
    <row r="18" spans="2:9">
      <c r="B18" s="33" t="str">
        <f>'Profit and Loss Statement'!D18</f>
        <v>Marketing</v>
      </c>
      <c r="C18" s="6">
        <f>$H$46/12</f>
        <v>1291.4190000000001</v>
      </c>
      <c r="D18" s="6">
        <f t="shared" ref="D18:I18" si="8">$H$46/12</f>
        <v>1291.4190000000001</v>
      </c>
      <c r="E18" s="6">
        <f t="shared" si="8"/>
        <v>1291.4190000000001</v>
      </c>
      <c r="F18" s="6">
        <f t="shared" si="8"/>
        <v>1291.4190000000001</v>
      </c>
      <c r="G18" s="6">
        <f t="shared" si="8"/>
        <v>1291.4190000000001</v>
      </c>
      <c r="H18" s="6">
        <f t="shared" si="8"/>
        <v>1291.4190000000001</v>
      </c>
      <c r="I18" s="6">
        <f t="shared" si="8"/>
        <v>1291.4190000000001</v>
      </c>
    </row>
    <row r="19" spans="2:9">
      <c r="B19" s="33" t="str">
        <f>'Profit and Loss Statement'!D19</f>
        <v>Professional Fees and Licensure</v>
      </c>
      <c r="C19" s="6">
        <f>$H$47/12</f>
        <v>965.83333333333337</v>
      </c>
      <c r="D19" s="6">
        <f t="shared" ref="D19:I19" si="9">$H$47/12</f>
        <v>965.83333333333337</v>
      </c>
      <c r="E19" s="6">
        <f t="shared" si="9"/>
        <v>965.83333333333337</v>
      </c>
      <c r="F19" s="6">
        <f t="shared" si="9"/>
        <v>965.83333333333337</v>
      </c>
      <c r="G19" s="6">
        <f t="shared" si="9"/>
        <v>965.83333333333337</v>
      </c>
      <c r="H19" s="6">
        <f t="shared" si="9"/>
        <v>965.83333333333337</v>
      </c>
      <c r="I19" s="6">
        <f t="shared" si="9"/>
        <v>965.83333333333337</v>
      </c>
    </row>
    <row r="20" spans="2:9">
      <c r="B20" s="29" t="s">
        <v>14</v>
      </c>
      <c r="C20" s="6">
        <f>$H$48/12</f>
        <v>2757.1875</v>
      </c>
      <c r="D20" s="6">
        <f t="shared" ref="D20:I20" si="10">$H$48/12</f>
        <v>2757.1875</v>
      </c>
      <c r="E20" s="6">
        <f t="shared" si="10"/>
        <v>2757.1875</v>
      </c>
      <c r="F20" s="6">
        <f t="shared" si="10"/>
        <v>2757.1875</v>
      </c>
      <c r="G20" s="6">
        <f t="shared" si="10"/>
        <v>2757.1875</v>
      </c>
      <c r="H20" s="6">
        <f t="shared" si="10"/>
        <v>2757.1875</v>
      </c>
      <c r="I20" s="6">
        <f t="shared" si="10"/>
        <v>2757.1875</v>
      </c>
    </row>
    <row r="21" spans="2:9">
      <c r="B21" s="28" t="s">
        <v>8</v>
      </c>
      <c r="C21" s="6">
        <f>SUM(C13:C20)</f>
        <v>51961.510425000008</v>
      </c>
      <c r="D21" s="6">
        <f t="shared" ref="D21:I21" si="11">SUM(D13:D20)</f>
        <v>51961.510425000008</v>
      </c>
      <c r="E21" s="6">
        <f t="shared" si="11"/>
        <v>51961.510425000008</v>
      </c>
      <c r="F21" s="6">
        <f t="shared" si="11"/>
        <v>51961.510425000008</v>
      </c>
      <c r="G21" s="6">
        <f t="shared" si="11"/>
        <v>51961.510425000008</v>
      </c>
      <c r="H21" s="6">
        <f t="shared" si="11"/>
        <v>51961.510425000008</v>
      </c>
      <c r="I21" s="6">
        <f t="shared" si="11"/>
        <v>51961.510425000008</v>
      </c>
    </row>
    <row r="22" spans="2:9">
      <c r="B22" s="30"/>
    </row>
    <row r="23" spans="2:9">
      <c r="B23" s="24" t="s">
        <v>47</v>
      </c>
      <c r="C23" s="25">
        <f>C10-C21</f>
        <v>40163.489574999992</v>
      </c>
      <c r="D23" s="25">
        <f t="shared" ref="D23:I23" si="12">D10-D21</f>
        <v>40181.914574999995</v>
      </c>
      <c r="E23" s="25">
        <f t="shared" si="12"/>
        <v>40200.339574999998</v>
      </c>
      <c r="F23" s="25">
        <f t="shared" si="12"/>
        <v>40218.764574999987</v>
      </c>
      <c r="G23" s="25">
        <f t="shared" si="12"/>
        <v>40237.189574999989</v>
      </c>
      <c r="H23" s="25">
        <f t="shared" si="12"/>
        <v>40255.614574999992</v>
      </c>
      <c r="I23" s="25">
        <f t="shared" si="12"/>
        <v>40274.039574999995</v>
      </c>
    </row>
    <row r="24" spans="2:9">
      <c r="B24" s="29" t="s">
        <v>15</v>
      </c>
      <c r="C24" s="6">
        <f>(C6/$H$34)*$H$52</f>
        <v>8898.064730879365</v>
      </c>
      <c r="D24" s="6">
        <f t="shared" ref="D24:I24" si="13">(D6/$H$34)*$H$52</f>
        <v>8899.8443438255417</v>
      </c>
      <c r="E24" s="6">
        <f t="shared" si="13"/>
        <v>8901.6239567717184</v>
      </c>
      <c r="F24" s="6">
        <f t="shared" si="13"/>
        <v>8903.4035697178933</v>
      </c>
      <c r="G24" s="6">
        <f t="shared" si="13"/>
        <v>8905.1831826640682</v>
      </c>
      <c r="H24" s="6">
        <f t="shared" si="13"/>
        <v>8906.9627956102449</v>
      </c>
      <c r="I24" s="6">
        <f t="shared" si="13"/>
        <v>8908.7424085564198</v>
      </c>
    </row>
    <row r="25" spans="2:9">
      <c r="B25" s="29" t="s">
        <v>102</v>
      </c>
      <c r="C25" s="6">
        <f>(C6/$H$34)*$H$53</f>
        <v>1779.6129461758733</v>
      </c>
      <c r="D25" s="6">
        <f t="shared" ref="D25:I25" si="14">(D6/$H$34)*$H$53</f>
        <v>1779.9688687651083</v>
      </c>
      <c r="E25" s="6">
        <f t="shared" si="14"/>
        <v>1780.3247913543437</v>
      </c>
      <c r="F25" s="6">
        <f t="shared" si="14"/>
        <v>1780.6807139435789</v>
      </c>
      <c r="G25" s="6">
        <f t="shared" si="14"/>
        <v>1781.0366365328139</v>
      </c>
      <c r="H25" s="6">
        <f t="shared" si="14"/>
        <v>1781.3925591220491</v>
      </c>
      <c r="I25" s="6">
        <f t="shared" si="14"/>
        <v>1781.7484817112843</v>
      </c>
    </row>
    <row r="26" spans="2:9">
      <c r="B26" s="29" t="s">
        <v>16</v>
      </c>
      <c r="C26" s="6">
        <f>'Loan Amortization Table'!D14</f>
        <v>0</v>
      </c>
      <c r="D26" s="6">
        <f>'Loan Amortization Table'!D15</f>
        <v>0</v>
      </c>
      <c r="E26" s="6">
        <f>'Loan Amortization Table'!D16</f>
        <v>0</v>
      </c>
      <c r="F26" s="6">
        <f>'Loan Amortization Table'!D17</f>
        <v>0</v>
      </c>
      <c r="G26" s="6">
        <f>'Loan Amortization Table'!D18</f>
        <v>0</v>
      </c>
      <c r="H26" s="6">
        <f>'Loan Amortization Table'!D19</f>
        <v>0</v>
      </c>
      <c r="I26" s="6">
        <f>'Loan Amortization Table'!D20</f>
        <v>0</v>
      </c>
    </row>
    <row r="27" spans="2:9">
      <c r="B27" s="29" t="s">
        <v>54</v>
      </c>
      <c r="C27" s="6">
        <f>$H$55/12</f>
        <v>4633.416666666667</v>
      </c>
      <c r="D27" s="6">
        <f t="shared" ref="D27:I27" si="15">$H$55/12</f>
        <v>4633.416666666667</v>
      </c>
      <c r="E27" s="6">
        <f t="shared" si="15"/>
        <v>4633.416666666667</v>
      </c>
      <c r="F27" s="6">
        <f t="shared" si="15"/>
        <v>4633.416666666667</v>
      </c>
      <c r="G27" s="6">
        <f t="shared" si="15"/>
        <v>4633.416666666667</v>
      </c>
      <c r="H27" s="6">
        <f t="shared" si="15"/>
        <v>4633.416666666667</v>
      </c>
      <c r="I27" s="6">
        <f t="shared" si="15"/>
        <v>4633.416666666667</v>
      </c>
    </row>
    <row r="28" spans="2:9">
      <c r="B28" s="38" t="s">
        <v>17</v>
      </c>
      <c r="C28" s="39">
        <f>C23-SUM(C24:C27)</f>
        <v>24852.395231278086</v>
      </c>
      <c r="D28" s="39">
        <f t="shared" ref="D28:I28" si="16">D23-SUM(D24:D27)</f>
        <v>24868.684695742679</v>
      </c>
      <c r="E28" s="39">
        <f t="shared" si="16"/>
        <v>24884.974160207268</v>
      </c>
      <c r="F28" s="39">
        <f t="shared" si="16"/>
        <v>24901.263624671847</v>
      </c>
      <c r="G28" s="39">
        <f t="shared" si="16"/>
        <v>24917.55308913644</v>
      </c>
      <c r="H28" s="39">
        <f t="shared" si="16"/>
        <v>24933.842553601033</v>
      </c>
      <c r="I28" s="39">
        <f t="shared" si="16"/>
        <v>24950.132018065626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107650.5</v>
      </c>
      <c r="D34" s="6">
        <f>Inputs!K42</f>
        <v>107672</v>
      </c>
      <c r="E34" s="6">
        <f>Inputs!L42</f>
        <v>107693.5</v>
      </c>
      <c r="F34" s="6">
        <f>Inputs!M42</f>
        <v>107715</v>
      </c>
      <c r="G34" s="6">
        <f>Inputs!N42</f>
        <v>107736.5</v>
      </c>
      <c r="H34" s="6">
        <f>'Profit and Loss Statement'!E6</f>
        <v>1291419</v>
      </c>
    </row>
    <row r="35" spans="2:8">
      <c r="B35" s="31" t="s">
        <v>52</v>
      </c>
      <c r="C35" s="6">
        <f>Inputs!J61</f>
        <v>15396.525</v>
      </c>
      <c r="D35" s="6">
        <f>Inputs!K61</f>
        <v>15399.6</v>
      </c>
      <c r="E35" s="6">
        <f>Inputs!L61</f>
        <v>15402.674999999999</v>
      </c>
      <c r="F35" s="6">
        <f>Inputs!M61</f>
        <v>15405.75</v>
      </c>
      <c r="G35" s="6">
        <f>Inputs!N61</f>
        <v>15408.825000000001</v>
      </c>
      <c r="H35" s="6">
        <f>'Profit and Loss Statement'!E7</f>
        <v>184702.95</v>
      </c>
    </row>
    <row r="36" spans="2:8">
      <c r="B36" s="29" t="s">
        <v>12</v>
      </c>
      <c r="C36" s="17">
        <f>1-(C35/C34)</f>
        <v>0.85697674418604652</v>
      </c>
      <c r="D36" s="17">
        <f t="shared" ref="D36:H36" si="18">1-(D35/D34)</f>
        <v>0.85697674418604652</v>
      </c>
      <c r="E36" s="17">
        <f t="shared" si="18"/>
        <v>0.85697674418604652</v>
      </c>
      <c r="F36" s="17">
        <f t="shared" si="18"/>
        <v>0.85697674418604652</v>
      </c>
      <c r="G36" s="17">
        <f t="shared" si="18"/>
        <v>0.85697674418604652</v>
      </c>
      <c r="H36" s="17">
        <f t="shared" si="18"/>
        <v>0.85697674418604652</v>
      </c>
    </row>
    <row r="37" spans="2:8">
      <c r="B37" s="30"/>
    </row>
    <row r="38" spans="2:8">
      <c r="B38" s="37" t="s">
        <v>10</v>
      </c>
      <c r="C38" s="6">
        <f>C34-C35</f>
        <v>92253.975000000006</v>
      </c>
      <c r="D38" s="6">
        <f t="shared" ref="D38:H38" si="19">D34-D35</f>
        <v>92272.4</v>
      </c>
      <c r="E38" s="6">
        <f t="shared" si="19"/>
        <v>92290.824999999997</v>
      </c>
      <c r="F38" s="6">
        <f t="shared" si="19"/>
        <v>92309.25</v>
      </c>
      <c r="G38" s="6">
        <f t="shared" si="19"/>
        <v>92327.675000000003</v>
      </c>
      <c r="H38" s="6">
        <f t="shared" si="19"/>
        <v>1106716.05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36041.666666666664</v>
      </c>
      <c r="D41" s="6">
        <f t="shared" ref="D41:G41" si="20">$H$41/12</f>
        <v>36041.666666666664</v>
      </c>
      <c r="E41" s="6">
        <f t="shared" si="20"/>
        <v>36041.666666666664</v>
      </c>
      <c r="F41" s="6">
        <f t="shared" si="20"/>
        <v>36041.666666666664</v>
      </c>
      <c r="G41" s="6">
        <f t="shared" si="20"/>
        <v>36041.666666666664</v>
      </c>
      <c r="H41" s="6">
        <f>'Profit and Loss Statement'!E13</f>
        <v>432500</v>
      </c>
    </row>
    <row r="42" spans="2:8">
      <c r="B42" s="33" t="str">
        <f>B14</f>
        <v>Facility Costs</v>
      </c>
      <c r="C42" s="6">
        <f>$H$42/12</f>
        <v>5417.5</v>
      </c>
      <c r="D42" s="6">
        <f t="shared" ref="D42:G42" si="21">$H$42/12</f>
        <v>5417.5</v>
      </c>
      <c r="E42" s="6">
        <f t="shared" si="21"/>
        <v>5417.5</v>
      </c>
      <c r="F42" s="6">
        <f t="shared" si="21"/>
        <v>5417.5</v>
      </c>
      <c r="G42" s="6">
        <f t="shared" si="21"/>
        <v>5417.5</v>
      </c>
      <c r="H42" s="6">
        <f>'Profit and Loss Statement'!E14</f>
        <v>65010</v>
      </c>
    </row>
    <row r="43" spans="2:8">
      <c r="B43" s="33" t="str">
        <f t="shared" ref="B43:B47" si="22">B15</f>
        <v>General and Administrative</v>
      </c>
      <c r="C43" s="6">
        <f>$H$43/12</f>
        <v>1689.6065249999999</v>
      </c>
      <c r="D43" s="6">
        <f t="shared" ref="D43:G43" si="23">$H$43/12</f>
        <v>1689.6065249999999</v>
      </c>
      <c r="E43" s="6">
        <f t="shared" si="23"/>
        <v>1689.6065249999999</v>
      </c>
      <c r="F43" s="6">
        <f t="shared" si="23"/>
        <v>1689.6065249999999</v>
      </c>
      <c r="G43" s="6">
        <f t="shared" si="23"/>
        <v>1689.6065249999999</v>
      </c>
      <c r="H43" s="6">
        <f>'Profit and Loss Statement'!E15</f>
        <v>20275.278299999998</v>
      </c>
    </row>
    <row r="44" spans="2:8">
      <c r="B44" s="33" t="str">
        <f t="shared" si="22"/>
        <v>Equipment Costs</v>
      </c>
      <c r="C44" s="6">
        <f>$H$44/12</f>
        <v>1635.7974000000002</v>
      </c>
      <c r="D44" s="6">
        <f t="shared" ref="D44:G44" si="24">$H$44/12</f>
        <v>1635.7974000000002</v>
      </c>
      <c r="E44" s="6">
        <f t="shared" si="24"/>
        <v>1635.7974000000002</v>
      </c>
      <c r="F44" s="6">
        <f t="shared" si="24"/>
        <v>1635.7974000000002</v>
      </c>
      <c r="G44" s="6">
        <f t="shared" si="24"/>
        <v>1635.7974000000002</v>
      </c>
      <c r="H44" s="6">
        <f>'Profit and Loss Statement'!E16</f>
        <v>19629.568800000001</v>
      </c>
    </row>
    <row r="45" spans="2:8">
      <c r="B45" s="33" t="str">
        <f t="shared" si="22"/>
        <v>Insurance Costs</v>
      </c>
      <c r="C45" s="6">
        <f>$H$45/12</f>
        <v>2162.5</v>
      </c>
      <c r="D45" s="6">
        <f t="shared" ref="D45:G45" si="25">$H$45/12</f>
        <v>2162.5</v>
      </c>
      <c r="E45" s="6">
        <f t="shared" si="25"/>
        <v>2162.5</v>
      </c>
      <c r="F45" s="6">
        <f t="shared" si="25"/>
        <v>2162.5</v>
      </c>
      <c r="G45" s="6">
        <f t="shared" si="25"/>
        <v>2162.5</v>
      </c>
      <c r="H45" s="6">
        <f>'Profit and Loss Statement'!E17</f>
        <v>25950</v>
      </c>
    </row>
    <row r="46" spans="2:8">
      <c r="B46" s="33" t="str">
        <f t="shared" si="22"/>
        <v>Marketing</v>
      </c>
      <c r="C46" s="6">
        <f>$H$46/12</f>
        <v>1291.4190000000001</v>
      </c>
      <c r="D46" s="6">
        <f t="shared" ref="D46:G46" si="26">$H$46/12</f>
        <v>1291.4190000000001</v>
      </c>
      <c r="E46" s="6">
        <f t="shared" si="26"/>
        <v>1291.4190000000001</v>
      </c>
      <c r="F46" s="6">
        <f t="shared" si="26"/>
        <v>1291.4190000000001</v>
      </c>
      <c r="G46" s="6">
        <f t="shared" si="26"/>
        <v>1291.4190000000001</v>
      </c>
      <c r="H46" s="6">
        <f>'Profit and Loss Statement'!E18</f>
        <v>15497.028</v>
      </c>
    </row>
    <row r="47" spans="2:8">
      <c r="B47" s="33" t="str">
        <f t="shared" si="22"/>
        <v>Professional Fees and Licensure</v>
      </c>
      <c r="C47" s="6">
        <f>$H$47/12</f>
        <v>965.83333333333337</v>
      </c>
      <c r="D47" s="6">
        <f t="shared" ref="D47:G47" si="27">$H$47/12</f>
        <v>965.83333333333337</v>
      </c>
      <c r="E47" s="6">
        <f t="shared" si="27"/>
        <v>965.83333333333337</v>
      </c>
      <c r="F47" s="6">
        <f t="shared" si="27"/>
        <v>965.83333333333337</v>
      </c>
      <c r="G47" s="6">
        <f t="shared" si="27"/>
        <v>965.83333333333337</v>
      </c>
      <c r="H47" s="6">
        <f>'Profit and Loss Statement'!E19</f>
        <v>11590</v>
      </c>
    </row>
    <row r="48" spans="2:8">
      <c r="B48" s="29" t="s">
        <v>14</v>
      </c>
      <c r="C48" s="6">
        <f>$H$48/12</f>
        <v>2757.1875</v>
      </c>
      <c r="D48" s="6">
        <f t="shared" ref="D48:G48" si="28">$H$48/12</f>
        <v>2757.1875</v>
      </c>
      <c r="E48" s="6">
        <f t="shared" si="28"/>
        <v>2757.1875</v>
      </c>
      <c r="F48" s="6">
        <f t="shared" si="28"/>
        <v>2757.1875</v>
      </c>
      <c r="G48" s="6">
        <f t="shared" si="28"/>
        <v>2757.1875</v>
      </c>
      <c r="H48" s="6">
        <f>'Profit and Loss Statement'!E20</f>
        <v>33086.25</v>
      </c>
    </row>
    <row r="49" spans="2:15">
      <c r="B49" s="28" t="s">
        <v>8</v>
      </c>
      <c r="C49" s="6">
        <f>SUM(C41:C48)</f>
        <v>51961.510425000008</v>
      </c>
      <c r="D49" s="6">
        <f t="shared" ref="D49:G49" si="29">SUM(D41:D48)</f>
        <v>51961.510425000008</v>
      </c>
      <c r="E49" s="6">
        <f t="shared" si="29"/>
        <v>51961.510425000008</v>
      </c>
      <c r="F49" s="6">
        <f t="shared" si="29"/>
        <v>51961.510425000008</v>
      </c>
      <c r="G49" s="6">
        <f t="shared" si="29"/>
        <v>51961.510425000008</v>
      </c>
      <c r="H49" s="6">
        <f>'Profit and Loss Statement'!E21</f>
        <v>623538.12510000006</v>
      </c>
    </row>
    <row r="50" spans="2:15">
      <c r="B50" s="30"/>
    </row>
    <row r="51" spans="2:15">
      <c r="B51" s="24" t="s">
        <v>47</v>
      </c>
      <c r="C51" s="25">
        <f>C38-C49</f>
        <v>40292.464574999998</v>
      </c>
      <c r="D51" s="25">
        <f t="shared" ref="D51:H51" si="30">D38-D49</f>
        <v>40310.889574999987</v>
      </c>
      <c r="E51" s="25">
        <f t="shared" si="30"/>
        <v>40329.314574999989</v>
      </c>
      <c r="F51" s="25">
        <f t="shared" si="30"/>
        <v>40347.739574999992</v>
      </c>
      <c r="G51" s="25">
        <f t="shared" si="30"/>
        <v>40366.164574999995</v>
      </c>
      <c r="H51" s="25">
        <f t="shared" si="30"/>
        <v>483177.92489999998</v>
      </c>
    </row>
    <row r="52" spans="2:15">
      <c r="B52" s="29" t="s">
        <v>15</v>
      </c>
      <c r="C52" s="6">
        <f>(C34/$H$34)*$H$52</f>
        <v>8910.5220215025965</v>
      </c>
      <c r="D52" s="6">
        <f t="shared" ref="D52:G52" si="31">(D34/$H$34)*$H$52</f>
        <v>8912.3016344487733</v>
      </c>
      <c r="E52" s="6">
        <f t="shared" si="31"/>
        <v>8914.0812473949482</v>
      </c>
      <c r="F52" s="6">
        <f t="shared" si="31"/>
        <v>8915.8608603411249</v>
      </c>
      <c r="G52" s="6">
        <f t="shared" si="31"/>
        <v>8917.6404732872998</v>
      </c>
      <c r="H52" s="6">
        <f>'Profit and Loss Statement'!E24</f>
        <v>106894.231225</v>
      </c>
    </row>
    <row r="53" spans="2:15">
      <c r="B53" s="29" t="s">
        <v>102</v>
      </c>
      <c r="C53" s="6">
        <f>(C34/$H$34)*$H$53</f>
        <v>1782.1044043005195</v>
      </c>
      <c r="D53" s="6">
        <f t="shared" ref="D53:G53" si="32">(D34/$H$34)*$H$53</f>
        <v>1782.4603268897547</v>
      </c>
      <c r="E53" s="6">
        <f t="shared" si="32"/>
        <v>1782.8162494789899</v>
      </c>
      <c r="F53" s="6">
        <f t="shared" si="32"/>
        <v>1783.1721720682249</v>
      </c>
      <c r="G53" s="6">
        <f t="shared" si="32"/>
        <v>1783.5280946574601</v>
      </c>
      <c r="H53" s="6">
        <f>'Profit and Loss Statement'!E25</f>
        <v>21378.846245000001</v>
      </c>
    </row>
    <row r="54" spans="2:15">
      <c r="B54" s="29" t="s">
        <v>16</v>
      </c>
      <c r="C54" s="6">
        <f>'Loan Amortization Table'!D21</f>
        <v>0</v>
      </c>
      <c r="D54" s="6">
        <f>'Loan Amortization Table'!D22</f>
        <v>0</v>
      </c>
      <c r="E54" s="6">
        <f>'Loan Amortization Table'!D23</f>
        <v>0</v>
      </c>
      <c r="F54" s="6">
        <f>'Loan Amortization Table'!D24</f>
        <v>0</v>
      </c>
      <c r="G54" s="6">
        <f>'Loan Amortization Table'!D25</f>
        <v>0</v>
      </c>
      <c r="H54" s="6">
        <f>'Profit and Loss Statement'!E26</f>
        <v>0</v>
      </c>
    </row>
    <row r="55" spans="2:15">
      <c r="B55" s="29" t="s">
        <v>54</v>
      </c>
      <c r="C55" s="6">
        <f>$H$55/12</f>
        <v>4633.416666666667</v>
      </c>
      <c r="D55" s="6">
        <f t="shared" ref="D55:G55" si="33">$H$55/12</f>
        <v>4633.416666666667</v>
      </c>
      <c r="E55" s="6">
        <f t="shared" si="33"/>
        <v>4633.416666666667</v>
      </c>
      <c r="F55" s="6">
        <f t="shared" si="33"/>
        <v>4633.416666666667</v>
      </c>
      <c r="G55" s="6">
        <f t="shared" si="33"/>
        <v>4633.416666666667</v>
      </c>
      <c r="H55" s="6">
        <f>'Profit and Loss Statement'!E27</f>
        <v>55601</v>
      </c>
    </row>
    <row r="56" spans="2:15">
      <c r="B56" s="38" t="s">
        <v>17</v>
      </c>
      <c r="C56" s="39">
        <f>C51-SUM(C52:C55)</f>
        <v>24966.421482530215</v>
      </c>
      <c r="D56" s="39">
        <f t="shared" ref="D56:G56" si="34">D51-SUM(D52:D55)</f>
        <v>24982.71094699479</v>
      </c>
      <c r="E56" s="39">
        <f t="shared" si="34"/>
        <v>24999.000411459383</v>
      </c>
      <c r="F56" s="39">
        <f t="shared" si="34"/>
        <v>25015.289875923976</v>
      </c>
      <c r="G56" s="39">
        <f t="shared" si="34"/>
        <v>25031.579340388569</v>
      </c>
      <c r="H56" s="39">
        <f>'Profit and Loss Statement'!E28</f>
        <v>299303.84742999997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355140.22499999998</v>
      </c>
      <c r="D62" s="6">
        <f t="shared" ref="D62:F62" si="38">$G$62*M62</f>
        <v>355140.22499999998</v>
      </c>
      <c r="E62" s="6">
        <f t="shared" si="38"/>
        <v>355140.22499999998</v>
      </c>
      <c r="F62" s="6">
        <f t="shared" si="38"/>
        <v>355140.22499999998</v>
      </c>
      <c r="G62" s="6">
        <f>'Profit and Loss Statement'!F6</f>
        <v>1420560.9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50793.311250000006</v>
      </c>
      <c r="D63" s="6">
        <f t="shared" ref="D63:F63" si="39">$G$63*M62</f>
        <v>50793.311250000006</v>
      </c>
      <c r="E63" s="6">
        <f t="shared" si="39"/>
        <v>50793.311250000006</v>
      </c>
      <c r="F63" s="6">
        <f t="shared" si="39"/>
        <v>50793.311250000006</v>
      </c>
      <c r="G63" s="6">
        <f>'Profit and Loss Statement'!F7</f>
        <v>203173.24500000002</v>
      </c>
    </row>
    <row r="64" spans="2:15">
      <c r="B64" s="29" t="s">
        <v>12</v>
      </c>
      <c r="C64" s="17">
        <f>1-(C63/C62)</f>
        <v>0.85697674418604652</v>
      </c>
      <c r="D64" s="17">
        <f t="shared" ref="D64" si="40">1-(D63/D62)</f>
        <v>0.85697674418604652</v>
      </c>
      <c r="E64" s="17">
        <f t="shared" ref="E64" si="41">1-(E63/E62)</f>
        <v>0.85697674418604652</v>
      </c>
      <c r="F64" s="17">
        <f t="shared" ref="F64:G64" si="42">1-(F63/F62)</f>
        <v>0.85697674418604652</v>
      </c>
      <c r="G64" s="17">
        <f t="shared" si="42"/>
        <v>0.85697674418604652</v>
      </c>
    </row>
    <row r="65" spans="2:7">
      <c r="B65" s="30"/>
    </row>
    <row r="66" spans="2:7">
      <c r="B66" s="37" t="s">
        <v>10</v>
      </c>
      <c r="C66" s="6">
        <f>C62-C63</f>
        <v>304346.91374999995</v>
      </c>
      <c r="D66" s="6">
        <f t="shared" ref="D66:G66" si="43">D62-D63</f>
        <v>304346.91374999995</v>
      </c>
      <c r="E66" s="6">
        <f t="shared" si="43"/>
        <v>304346.91374999995</v>
      </c>
      <c r="F66" s="6">
        <f t="shared" si="43"/>
        <v>304346.91374999995</v>
      </c>
      <c r="G66" s="6">
        <f t="shared" si="43"/>
        <v>1217387.6549999998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111368.75</v>
      </c>
      <c r="D69" s="6">
        <f t="shared" ref="D69:F69" si="44">$G$69/4</f>
        <v>111368.75</v>
      </c>
      <c r="E69" s="6">
        <f t="shared" si="44"/>
        <v>111368.75</v>
      </c>
      <c r="F69" s="6">
        <f t="shared" si="44"/>
        <v>111368.75</v>
      </c>
      <c r="G69" s="6">
        <f>'Profit and Loss Statement'!F13</f>
        <v>445475</v>
      </c>
    </row>
    <row r="70" spans="2:7">
      <c r="B70" s="33" t="str">
        <f>B42</f>
        <v>Facility Costs</v>
      </c>
      <c r="C70" s="6">
        <f>$G$70/4</f>
        <v>16740.075000000001</v>
      </c>
      <c r="D70" s="6">
        <f t="shared" ref="D70:F70" si="45">$G$70/4</f>
        <v>16740.075000000001</v>
      </c>
      <c r="E70" s="6">
        <f t="shared" si="45"/>
        <v>16740.075000000001</v>
      </c>
      <c r="F70" s="6">
        <f t="shared" si="45"/>
        <v>16740.075000000001</v>
      </c>
      <c r="G70" s="6">
        <f>'Profit and Loss Statement'!F14</f>
        <v>66960.3</v>
      </c>
    </row>
    <row r="71" spans="2:7">
      <c r="B71" s="33" t="str">
        <f t="shared" ref="B71:B75" si="46">B43</f>
        <v>General and Administrative</v>
      </c>
      <c r="C71" s="6">
        <f>$G$71/4</f>
        <v>5575.7015324999993</v>
      </c>
      <c r="D71" s="6">
        <f t="shared" ref="D71:F71" si="47">$G$71/4</f>
        <v>5575.7015324999993</v>
      </c>
      <c r="E71" s="6">
        <f t="shared" si="47"/>
        <v>5575.7015324999993</v>
      </c>
      <c r="F71" s="6">
        <f t="shared" si="47"/>
        <v>5575.7015324999993</v>
      </c>
      <c r="G71" s="6">
        <f>'Profit and Loss Statement'!F15</f>
        <v>22302.806129999997</v>
      </c>
    </row>
    <row r="72" spans="2:7">
      <c r="B72" s="33" t="str">
        <f t="shared" si="46"/>
        <v>Equipment Costs</v>
      </c>
      <c r="C72" s="6">
        <f>$G$72/4</f>
        <v>5398.1314199999997</v>
      </c>
      <c r="D72" s="6">
        <f t="shared" ref="D72:F72" si="48">$G$72/4</f>
        <v>5398.1314199999997</v>
      </c>
      <c r="E72" s="6">
        <f t="shared" si="48"/>
        <v>5398.1314199999997</v>
      </c>
      <c r="F72" s="6">
        <f t="shared" si="48"/>
        <v>5398.1314199999997</v>
      </c>
      <c r="G72" s="6">
        <f>'Profit and Loss Statement'!F16</f>
        <v>21592.525679999999</v>
      </c>
    </row>
    <row r="73" spans="2:7">
      <c r="B73" s="33" t="str">
        <f t="shared" si="46"/>
        <v>Insurance Costs</v>
      </c>
      <c r="C73" s="6">
        <f>$G$73/4</f>
        <v>6682.125</v>
      </c>
      <c r="D73" s="6">
        <f t="shared" ref="D73:F73" si="49">$G$73/4</f>
        <v>6682.125</v>
      </c>
      <c r="E73" s="6">
        <f t="shared" si="49"/>
        <v>6682.125</v>
      </c>
      <c r="F73" s="6">
        <f t="shared" si="49"/>
        <v>6682.125</v>
      </c>
      <c r="G73" s="6">
        <f>'Profit and Loss Statement'!F17</f>
        <v>26728.5</v>
      </c>
    </row>
    <row r="74" spans="2:7">
      <c r="B74" s="33" t="str">
        <f t="shared" si="46"/>
        <v>Marketing</v>
      </c>
      <c r="C74" s="6">
        <f>$G$74/4</f>
        <v>4261.6826999999994</v>
      </c>
      <c r="D74" s="6">
        <f t="shared" ref="D74:F74" si="50">$G$74/4</f>
        <v>4261.6826999999994</v>
      </c>
      <c r="E74" s="6">
        <f t="shared" si="50"/>
        <v>4261.6826999999994</v>
      </c>
      <c r="F74" s="6">
        <f t="shared" si="50"/>
        <v>4261.6826999999994</v>
      </c>
      <c r="G74" s="6">
        <f>'Profit and Loss Statement'!F18</f>
        <v>17046.730799999998</v>
      </c>
    </row>
    <row r="75" spans="2:7">
      <c r="B75" s="33" t="str">
        <f t="shared" si="46"/>
        <v>Professional Fees and Licensure</v>
      </c>
      <c r="C75" s="6">
        <f>$G$75/4</f>
        <v>3911.6250000000005</v>
      </c>
      <c r="D75" s="6">
        <f t="shared" ref="D75:F75" si="51">$G$75/4</f>
        <v>3911.6250000000005</v>
      </c>
      <c r="E75" s="6">
        <f t="shared" si="51"/>
        <v>3911.6250000000005</v>
      </c>
      <c r="F75" s="6">
        <f t="shared" si="51"/>
        <v>3911.6250000000005</v>
      </c>
      <c r="G75" s="6">
        <f>'Profit and Loss Statement'!F19</f>
        <v>15646.500000000002</v>
      </c>
    </row>
    <row r="76" spans="2:7">
      <c r="B76" s="29" t="s">
        <v>14</v>
      </c>
      <c r="C76" s="6">
        <f>$G$76/4</f>
        <v>8519.7093750000004</v>
      </c>
      <c r="D76" s="6">
        <f t="shared" ref="D76:F76" si="52">$G$76/4</f>
        <v>8519.7093750000004</v>
      </c>
      <c r="E76" s="6">
        <f t="shared" si="52"/>
        <v>8519.7093750000004</v>
      </c>
      <c r="F76" s="6">
        <f t="shared" si="52"/>
        <v>8519.7093750000004</v>
      </c>
      <c r="G76" s="6">
        <f>'Profit and Loss Statement'!F20</f>
        <v>34078.837500000001</v>
      </c>
    </row>
    <row r="77" spans="2:7">
      <c r="B77" s="28" t="s">
        <v>8</v>
      </c>
      <c r="C77" s="6">
        <f>SUM(C69:C76)</f>
        <v>162457.80002749999</v>
      </c>
      <c r="D77" s="6">
        <f t="shared" ref="D77:F77" si="53">SUM(D69:D76)</f>
        <v>162457.80002749999</v>
      </c>
      <c r="E77" s="6">
        <f t="shared" si="53"/>
        <v>162457.80002749999</v>
      </c>
      <c r="F77" s="6">
        <f t="shared" si="53"/>
        <v>162457.80002749999</v>
      </c>
      <c r="G77" s="6">
        <f>SUM(G69:G76)</f>
        <v>649831.20010999998</v>
      </c>
    </row>
    <row r="78" spans="2:7">
      <c r="B78" s="30"/>
    </row>
    <row r="79" spans="2:7">
      <c r="B79" s="24" t="s">
        <v>47</v>
      </c>
      <c r="C79" s="25">
        <f>C66-C77</f>
        <v>141889.11372249995</v>
      </c>
      <c r="D79" s="25">
        <f t="shared" ref="D79:F79" si="54">D66-D77</f>
        <v>141889.11372249995</v>
      </c>
      <c r="E79" s="25">
        <f t="shared" si="54"/>
        <v>141889.11372249995</v>
      </c>
      <c r="F79" s="25">
        <f t="shared" si="54"/>
        <v>141889.11372249995</v>
      </c>
      <c r="G79" s="25">
        <f t="shared" ref="G79" si="55">G66-G77</f>
        <v>567556.45488999982</v>
      </c>
    </row>
    <row r="80" spans="2:7">
      <c r="B80" s="29" t="s">
        <v>15</v>
      </c>
      <c r="C80" s="6">
        <f>$G$80*L62</f>
        <v>31997.215930624989</v>
      </c>
      <c r="D80" s="6">
        <f t="shared" ref="D80:F80" si="56">$G$80*M62</f>
        <v>31997.215930624989</v>
      </c>
      <c r="E80" s="6">
        <f t="shared" si="56"/>
        <v>31997.215930624989</v>
      </c>
      <c r="F80" s="6">
        <f t="shared" si="56"/>
        <v>31997.215930624989</v>
      </c>
      <c r="G80" s="6">
        <f>'Profit and Loss Statement'!F24</f>
        <v>127988.86372249995</v>
      </c>
    </row>
    <row r="81" spans="2:15">
      <c r="B81" s="29" t="s">
        <v>102</v>
      </c>
      <c r="C81" s="6">
        <f>$G$81*L62</f>
        <v>6399.4431861249977</v>
      </c>
      <c r="D81" s="6">
        <f t="shared" ref="D81:F81" si="57">$G$81*M62</f>
        <v>6399.4431861249977</v>
      </c>
      <c r="E81" s="6">
        <f t="shared" si="57"/>
        <v>6399.4431861249977</v>
      </c>
      <c r="F81" s="6">
        <f t="shared" si="57"/>
        <v>6399.4431861249977</v>
      </c>
      <c r="G81" s="6">
        <f>'Profit and Loss Statement'!F25</f>
        <v>25597.772744499991</v>
      </c>
    </row>
    <row r="82" spans="2:15">
      <c r="B82" s="29" t="s">
        <v>16</v>
      </c>
      <c r="C82" s="6">
        <f>SUM('Loan Amortization Table'!D26:D28)</f>
        <v>0</v>
      </c>
      <c r="D82" s="6">
        <f>SUM('Loan Amortization Table'!D29:D31)</f>
        <v>0</v>
      </c>
      <c r="E82" s="6">
        <f>SUM('Loan Amortization Table'!D32:D34)</f>
        <v>0</v>
      </c>
      <c r="F82" s="6">
        <f>SUM('Loan Amortization Table'!D35:D37)</f>
        <v>0</v>
      </c>
      <c r="G82" s="6">
        <f>'Profit and Loss Statement'!F26</f>
        <v>0</v>
      </c>
    </row>
    <row r="83" spans="2:15">
      <c r="B83" s="29" t="s">
        <v>54</v>
      </c>
      <c r="C83" s="6">
        <f>$G$83/4</f>
        <v>13900.25</v>
      </c>
      <c r="D83" s="6">
        <f t="shared" ref="D83:F83" si="58">$G$83/4</f>
        <v>13900.25</v>
      </c>
      <c r="E83" s="6">
        <f t="shared" si="58"/>
        <v>13900.25</v>
      </c>
      <c r="F83" s="6">
        <f t="shared" si="58"/>
        <v>13900.25</v>
      </c>
      <c r="G83" s="6">
        <f>'Profit and Loss Statement'!F27</f>
        <v>55601</v>
      </c>
    </row>
    <row r="84" spans="2:15">
      <c r="B84" s="38" t="s">
        <v>17</v>
      </c>
      <c r="C84" s="39">
        <f>C79-SUM(C80:C83)</f>
        <v>89592.204605749968</v>
      </c>
      <c r="D84" s="39">
        <f t="shared" ref="D84:F84" si="59">D79-SUM(D80:D83)</f>
        <v>89592.204605749968</v>
      </c>
      <c r="E84" s="39">
        <f t="shared" si="59"/>
        <v>89592.204605749968</v>
      </c>
      <c r="F84" s="39">
        <f t="shared" si="59"/>
        <v>89592.204605749968</v>
      </c>
      <c r="G84" s="39">
        <f>'Profit and Loss Statement'!F28</f>
        <v>358368.81842299987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390654.24750000006</v>
      </c>
      <c r="D92" s="6">
        <f t="shared" ref="D92:F92" si="64">$G$92*M92</f>
        <v>390654.24750000006</v>
      </c>
      <c r="E92" s="6">
        <f t="shared" si="64"/>
        <v>390654.24750000006</v>
      </c>
      <c r="F92" s="6">
        <f t="shared" si="64"/>
        <v>390654.24750000006</v>
      </c>
      <c r="G92" s="6">
        <f>'Profit and Loss Statement'!G6</f>
        <v>1562616.9900000002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55872.64237500001</v>
      </c>
      <c r="D93" s="6">
        <f t="shared" ref="D93:F93" si="65">$G$93*M92</f>
        <v>55872.64237500001</v>
      </c>
      <c r="E93" s="6">
        <f t="shared" si="65"/>
        <v>55872.64237500001</v>
      </c>
      <c r="F93" s="6">
        <f t="shared" si="65"/>
        <v>55872.64237500001</v>
      </c>
      <c r="G93" s="6">
        <f>'Profit and Loss Statement'!G7</f>
        <v>223490.56950000004</v>
      </c>
    </row>
    <row r="94" spans="2:15">
      <c r="B94" s="29" t="s">
        <v>12</v>
      </c>
      <c r="C94" s="17">
        <f>1-(C93/C92)</f>
        <v>0.85697674418604652</v>
      </c>
      <c r="D94" s="17">
        <f t="shared" ref="D94:G94" si="66">1-(D93/D92)</f>
        <v>0.85697674418604652</v>
      </c>
      <c r="E94" s="17">
        <f t="shared" si="66"/>
        <v>0.85697674418604652</v>
      </c>
      <c r="F94" s="17">
        <f t="shared" si="66"/>
        <v>0.85697674418604652</v>
      </c>
      <c r="G94" s="17">
        <f t="shared" si="66"/>
        <v>0.85697674418604652</v>
      </c>
    </row>
    <row r="95" spans="2:15">
      <c r="B95" s="30"/>
    </row>
    <row r="96" spans="2:15">
      <c r="B96" s="37" t="s">
        <v>10</v>
      </c>
      <c r="C96" s="6">
        <f>C92-C93</f>
        <v>334781.60512500006</v>
      </c>
      <c r="D96" s="6">
        <f t="shared" ref="D96:G96" si="67">D92-D93</f>
        <v>334781.60512500006</v>
      </c>
      <c r="E96" s="6">
        <f t="shared" si="67"/>
        <v>334781.60512500006</v>
      </c>
      <c r="F96" s="6">
        <f t="shared" si="67"/>
        <v>334781.60512500006</v>
      </c>
      <c r="G96" s="6">
        <f t="shared" si="67"/>
        <v>1339126.4205000002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114709.8125</v>
      </c>
      <c r="D99" s="6">
        <f>$G$99/4</f>
        <v>114709.8125</v>
      </c>
      <c r="E99" s="6">
        <f>$G$99/4</f>
        <v>114709.8125</v>
      </c>
      <c r="F99" s="6">
        <f>$G$99/4</f>
        <v>114709.8125</v>
      </c>
      <c r="G99" s="6">
        <f>'Profit and Loss Statement'!G13</f>
        <v>458839.25</v>
      </c>
    </row>
    <row r="100" spans="2:7">
      <c r="B100" s="33" t="str">
        <f>B70</f>
        <v>Facility Costs</v>
      </c>
      <c r="C100" s="6">
        <f>$G$100/4</f>
        <v>17242.277250000003</v>
      </c>
      <c r="D100" s="6">
        <f t="shared" ref="D100:F100" si="68">$G$100/4</f>
        <v>17242.277250000003</v>
      </c>
      <c r="E100" s="6">
        <f t="shared" si="68"/>
        <v>17242.277250000003</v>
      </c>
      <c r="F100" s="6">
        <f t="shared" si="68"/>
        <v>17242.277250000003</v>
      </c>
      <c r="G100" s="6">
        <f>'Profit and Loss Statement'!G14</f>
        <v>68969.109000000011</v>
      </c>
    </row>
    <row r="101" spans="2:7">
      <c r="B101" s="33" t="str">
        <f t="shared" ref="B101:B105" si="69">B71</f>
        <v>General and Administrative</v>
      </c>
      <c r="C101" s="6">
        <f>$G101/4</f>
        <v>6133.27168575</v>
      </c>
      <c r="D101" s="6">
        <f t="shared" ref="D101:F101" si="70">$G101/4</f>
        <v>6133.27168575</v>
      </c>
      <c r="E101" s="6">
        <f t="shared" si="70"/>
        <v>6133.27168575</v>
      </c>
      <c r="F101" s="6">
        <f t="shared" si="70"/>
        <v>6133.27168575</v>
      </c>
      <c r="G101" s="6">
        <f>'Profit and Loss Statement'!G15</f>
        <v>24533.086743</v>
      </c>
    </row>
    <row r="102" spans="2:7">
      <c r="B102" s="33" t="str">
        <f t="shared" si="69"/>
        <v>Equipment Costs</v>
      </c>
      <c r="C102" s="6">
        <f>$G$102/4</f>
        <v>5937.9445620000006</v>
      </c>
      <c r="D102" s="6">
        <f t="shared" ref="D102:F102" si="71">$G$102/4</f>
        <v>5937.9445620000006</v>
      </c>
      <c r="E102" s="6">
        <f t="shared" si="71"/>
        <v>5937.9445620000006</v>
      </c>
      <c r="F102" s="6">
        <f t="shared" si="71"/>
        <v>5937.9445620000006</v>
      </c>
      <c r="G102" s="6">
        <f>'Profit and Loss Statement'!G16</f>
        <v>23751.778248000002</v>
      </c>
    </row>
    <row r="103" spans="2:7">
      <c r="B103" s="33" t="str">
        <f t="shared" si="69"/>
        <v>Insurance Costs</v>
      </c>
      <c r="C103" s="6">
        <f>$G$103/4</f>
        <v>6882.5887499999999</v>
      </c>
      <c r="D103" s="6">
        <f t="shared" ref="D103:F103" si="72">$G$103/4</f>
        <v>6882.5887499999999</v>
      </c>
      <c r="E103" s="6">
        <f t="shared" si="72"/>
        <v>6882.5887499999999</v>
      </c>
      <c r="F103" s="6">
        <f t="shared" si="72"/>
        <v>6882.5887499999999</v>
      </c>
      <c r="G103" s="6">
        <f>'Profit and Loss Statement'!G17</f>
        <v>27530.355</v>
      </c>
    </row>
    <row r="104" spans="2:7">
      <c r="B104" s="33" t="str">
        <f t="shared" si="69"/>
        <v>Marketing</v>
      </c>
      <c r="C104" s="6">
        <f>$G$104/4</f>
        <v>4687.8509700000004</v>
      </c>
      <c r="D104" s="6">
        <f t="shared" ref="D104:F104" si="73">$G$104/4</f>
        <v>4687.8509700000004</v>
      </c>
      <c r="E104" s="6">
        <f t="shared" si="73"/>
        <v>4687.8509700000004</v>
      </c>
      <c r="F104" s="6">
        <f t="shared" si="73"/>
        <v>4687.8509700000004</v>
      </c>
      <c r="G104" s="6">
        <f>'Profit and Loss Statement'!G18</f>
        <v>18751.403880000002</v>
      </c>
    </row>
    <row r="105" spans="2:7">
      <c r="B105" s="33" t="str">
        <f t="shared" si="69"/>
        <v>Professional Fees and Licensure</v>
      </c>
      <c r="C105" s="6">
        <f>$G$105/4</f>
        <v>5280.6937500000013</v>
      </c>
      <c r="D105" s="6">
        <f t="shared" ref="D105:F105" si="74">$G$105/4</f>
        <v>5280.6937500000013</v>
      </c>
      <c r="E105" s="6">
        <f t="shared" si="74"/>
        <v>5280.6937500000013</v>
      </c>
      <c r="F105" s="6">
        <f t="shared" si="74"/>
        <v>5280.6937500000013</v>
      </c>
      <c r="G105" s="6">
        <f>'Profit and Loss Statement'!G19</f>
        <v>21122.775000000005</v>
      </c>
    </row>
    <row r="106" spans="2:7">
      <c r="B106" s="29" t="s">
        <v>14</v>
      </c>
      <c r="C106" s="6">
        <f>$G$106/4</f>
        <v>8775.3006562499995</v>
      </c>
      <c r="D106" s="6">
        <f t="shared" ref="D106:F106" si="75">$G$106/4</f>
        <v>8775.3006562499995</v>
      </c>
      <c r="E106" s="6">
        <f t="shared" si="75"/>
        <v>8775.3006562499995</v>
      </c>
      <c r="F106" s="6">
        <f t="shared" si="75"/>
        <v>8775.3006562499995</v>
      </c>
      <c r="G106" s="6">
        <f>'Profit and Loss Statement'!G20</f>
        <v>35101.202624999998</v>
      </c>
    </row>
    <row r="107" spans="2:7">
      <c r="B107" s="28" t="s">
        <v>8</v>
      </c>
      <c r="C107" s="6">
        <f>SUM(C99:C106)</f>
        <v>169649.740124</v>
      </c>
      <c r="D107" s="6">
        <f t="shared" ref="D107:F107" si="76">SUM(D99:D106)</f>
        <v>169649.740124</v>
      </c>
      <c r="E107" s="6">
        <f t="shared" si="76"/>
        <v>169649.740124</v>
      </c>
      <c r="F107" s="6">
        <f t="shared" si="76"/>
        <v>169649.740124</v>
      </c>
      <c r="G107" s="6">
        <f>SUM(G99:G106)</f>
        <v>678598.96049600001</v>
      </c>
    </row>
    <row r="108" spans="2:7">
      <c r="B108" s="30"/>
    </row>
    <row r="109" spans="2:7">
      <c r="B109" s="24" t="s">
        <v>47</v>
      </c>
      <c r="C109" s="25">
        <f>C96-C107</f>
        <v>165131.86500100006</v>
      </c>
      <c r="D109" s="25">
        <f t="shared" ref="D109:G109" si="77">D96-D107</f>
        <v>165131.86500100006</v>
      </c>
      <c r="E109" s="25">
        <f t="shared" si="77"/>
        <v>165131.86500100006</v>
      </c>
      <c r="F109" s="25">
        <f t="shared" si="77"/>
        <v>165131.86500100006</v>
      </c>
      <c r="G109" s="25">
        <f t="shared" si="77"/>
        <v>660527.46000400023</v>
      </c>
    </row>
    <row r="110" spans="2:7">
      <c r="B110" s="29" t="s">
        <v>15</v>
      </c>
      <c r="C110" s="6">
        <f>$G$110*L92</f>
        <v>37807.903750250014</v>
      </c>
      <c r="D110" s="6">
        <f t="shared" ref="D110:F110" si="78">$G$110*M92</f>
        <v>37807.903750250014</v>
      </c>
      <c r="E110" s="6">
        <f t="shared" si="78"/>
        <v>37807.903750250014</v>
      </c>
      <c r="F110" s="6">
        <f t="shared" si="78"/>
        <v>37807.903750250014</v>
      </c>
      <c r="G110" s="6">
        <f>'Profit and Loss Statement'!G24</f>
        <v>151231.61500100006</v>
      </c>
    </row>
    <row r="111" spans="2:7">
      <c r="B111" s="29" t="s">
        <v>102</v>
      </c>
      <c r="C111" s="6">
        <f>$G$111*L92</f>
        <v>7561.5807500500032</v>
      </c>
      <c r="D111" s="6">
        <f t="shared" ref="D111:F111" si="79">$G$111*M92</f>
        <v>7561.5807500500032</v>
      </c>
      <c r="E111" s="6">
        <f t="shared" si="79"/>
        <v>7561.5807500500032</v>
      </c>
      <c r="F111" s="6">
        <f t="shared" si="79"/>
        <v>7561.5807500500032</v>
      </c>
      <c r="G111" s="6">
        <f>'Profit and Loss Statement'!G25</f>
        <v>30246.323000200013</v>
      </c>
    </row>
    <row r="112" spans="2:7">
      <c r="B112" s="29" t="s">
        <v>16</v>
      </c>
      <c r="C112" s="6">
        <f>SUM('Loan Amortization Table'!D38:D40)</f>
        <v>0</v>
      </c>
      <c r="D112" s="6">
        <f>SUM('Loan Amortization Table'!D41:D43)</f>
        <v>0</v>
      </c>
      <c r="E112" s="6">
        <f>SUM('Loan Amortization Table'!D44:D46)</f>
        <v>0</v>
      </c>
      <c r="F112" s="6">
        <f>SUM('Loan Amortization Table'!D47:D49)</f>
        <v>0</v>
      </c>
      <c r="G112" s="6">
        <f>'Profit and Loss Statement'!G26</f>
        <v>0</v>
      </c>
    </row>
    <row r="113" spans="2:15">
      <c r="B113" s="29" t="s">
        <v>54</v>
      </c>
      <c r="C113" s="6">
        <f>$G$113/4</f>
        <v>13900.25</v>
      </c>
      <c r="D113" s="6">
        <f>$G$113/4</f>
        <v>13900.25</v>
      </c>
      <c r="E113" s="6">
        <f>$G$113/4</f>
        <v>13900.25</v>
      </c>
      <c r="F113" s="6">
        <f>$G$113/4</f>
        <v>13900.25</v>
      </c>
      <c r="G113" s="6">
        <f>'Profit and Loss Statement'!G27</f>
        <v>55601</v>
      </c>
    </row>
    <row r="114" spans="2:15">
      <c r="B114" s="38" t="s">
        <v>17</v>
      </c>
      <c r="C114" s="39">
        <f>C109-SUM(C110:C113)</f>
        <v>105862.13050070003</v>
      </c>
      <c r="D114" s="39">
        <f t="shared" ref="D114:F114" si="80">D109-SUM(D110:D113)</f>
        <v>105862.13050070003</v>
      </c>
      <c r="E114" s="39">
        <f t="shared" si="80"/>
        <v>105862.13050070003</v>
      </c>
      <c r="F114" s="39">
        <f t="shared" si="80"/>
        <v>105862.13050070003</v>
      </c>
      <c r="G114" s="39">
        <f>'Profit and Loss Statement'!G28</f>
        <v>423448.52200280013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U14" sqref="U14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29485.811897944754</v>
      </c>
      <c r="E6" s="13">
        <f>'Expanded Profit and Loss'!D28+'Expanded Profit and Loss'!D27</f>
        <v>29502.101362409347</v>
      </c>
      <c r="F6" s="13">
        <f>'Expanded Profit and Loss'!E28+'Expanded Profit and Loss'!E27</f>
        <v>29518.390826873936</v>
      </c>
      <c r="G6" s="13">
        <f>'Expanded Profit and Loss'!F28+'Expanded Profit and Loss'!F27</f>
        <v>29534.680291338515</v>
      </c>
      <c r="H6" s="13">
        <f>'Expanded Profit and Loss'!G28+'Expanded Profit and Loss'!G27</f>
        <v>29550.969755803108</v>
      </c>
      <c r="I6" s="13">
        <f>'Expanded Profit and Loss'!H28+'Expanded Profit and Loss'!H27</f>
        <v>29567.259220267701</v>
      </c>
      <c r="J6" s="13">
        <f>'Expanded Profit and Loss'!I28+'Expanded Profit and Loss'!I27</f>
        <v>29583.548684732294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1500000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709.91666666666663</v>
      </c>
      <c r="E11" s="13">
        <f t="shared" ref="E11:J11" si="1">$I$36/12</f>
        <v>709.91666666666663</v>
      </c>
      <c r="F11" s="13">
        <f t="shared" si="1"/>
        <v>709.91666666666663</v>
      </c>
      <c r="G11" s="13">
        <f t="shared" si="1"/>
        <v>709.91666666666663</v>
      </c>
      <c r="H11" s="13">
        <f t="shared" si="1"/>
        <v>709.91666666666663</v>
      </c>
      <c r="I11" s="13">
        <f t="shared" si="1"/>
        <v>709.91666666666663</v>
      </c>
      <c r="J11" s="13">
        <f t="shared" si="1"/>
        <v>709.91666666666663</v>
      </c>
    </row>
    <row r="12" spans="3:10">
      <c r="C12" s="37" t="s">
        <v>23</v>
      </c>
      <c r="D12" s="26">
        <f>SUM(D9:D11)</f>
        <v>1500709.9166666667</v>
      </c>
      <c r="E12" s="26">
        <f t="shared" ref="E12:J12" si="2">SUM(E9:E11)</f>
        <v>709.91666666666663</v>
      </c>
      <c r="F12" s="26">
        <f t="shared" si="2"/>
        <v>709.91666666666663</v>
      </c>
      <c r="G12" s="26">
        <f t="shared" si="2"/>
        <v>709.91666666666663</v>
      </c>
      <c r="H12" s="26">
        <f t="shared" si="2"/>
        <v>709.91666666666663</v>
      </c>
      <c r="I12" s="26">
        <f t="shared" si="2"/>
        <v>709.91666666666663</v>
      </c>
      <c r="J12" s="26">
        <f t="shared" si="2"/>
        <v>709.91666666666663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1530195.7285646114</v>
      </c>
      <c r="E15" s="27">
        <f t="shared" ref="E15:J15" si="3">E6+E12</f>
        <v>30212.018029076014</v>
      </c>
      <c r="F15" s="27">
        <f t="shared" si="3"/>
        <v>30228.307493540604</v>
      </c>
      <c r="G15" s="27">
        <f t="shared" si="3"/>
        <v>30244.596958005182</v>
      </c>
      <c r="H15" s="27">
        <f t="shared" si="3"/>
        <v>30260.886422469775</v>
      </c>
      <c r="I15" s="27">
        <f t="shared" si="3"/>
        <v>30277.175886934368</v>
      </c>
      <c r="J15" s="27">
        <f t="shared" si="3"/>
        <v>30293.465351398962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0</v>
      </c>
      <c r="E18" s="6">
        <f>'Loan Amortization Table'!C15</f>
        <v>0</v>
      </c>
      <c r="F18" s="6">
        <f>'Loan Amortization Table'!C16</f>
        <v>0</v>
      </c>
      <c r="G18" s="6">
        <f>'Loan Amortization Table'!C17</f>
        <v>0</v>
      </c>
      <c r="H18" s="6">
        <f>'Loan Amortization Table'!C18</f>
        <v>0</v>
      </c>
      <c r="I18" s="6">
        <f>'Loan Amortization Table'!C19</f>
        <v>0</v>
      </c>
      <c r="J18" s="6">
        <f>'Loan Amortization Table'!C20</f>
        <v>0</v>
      </c>
    </row>
    <row r="19" spans="3:10">
      <c r="C19" s="12" t="s">
        <v>25</v>
      </c>
      <c r="D19" s="13">
        <f>$I$44/12</f>
        <v>496.94166666666661</v>
      </c>
      <c r="E19" s="13">
        <f t="shared" ref="E19:J19" si="4">$I$44/12</f>
        <v>496.94166666666661</v>
      </c>
      <c r="F19" s="13">
        <f t="shared" si="4"/>
        <v>496.94166666666661</v>
      </c>
      <c r="G19" s="13">
        <f t="shared" si="4"/>
        <v>496.94166666666661</v>
      </c>
      <c r="H19" s="13">
        <f t="shared" si="4"/>
        <v>496.94166666666661</v>
      </c>
      <c r="I19" s="13">
        <f t="shared" si="4"/>
        <v>496.94166666666661</v>
      </c>
      <c r="J19" s="13">
        <f t="shared" si="4"/>
        <v>496.94166666666661</v>
      </c>
    </row>
    <row r="20" spans="3:10">
      <c r="C20" s="31" t="s">
        <v>33</v>
      </c>
      <c r="D20" s="6">
        <f>I45</f>
        <v>1275000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1275496.9416666667</v>
      </c>
      <c r="E22" s="26">
        <f t="shared" ref="E22:J22" si="5">SUM(E18:E21)</f>
        <v>496.94166666666661</v>
      </c>
      <c r="F22" s="26">
        <f t="shared" si="5"/>
        <v>496.94166666666661</v>
      </c>
      <c r="G22" s="26">
        <f t="shared" si="5"/>
        <v>496.94166666666661</v>
      </c>
      <c r="H22" s="26">
        <f t="shared" si="5"/>
        <v>496.94166666666661</v>
      </c>
      <c r="I22" s="26">
        <f t="shared" si="5"/>
        <v>496.94166666666661</v>
      </c>
      <c r="J22" s="26">
        <f t="shared" si="5"/>
        <v>496.94166666666661</v>
      </c>
    </row>
    <row r="23" spans="3:10">
      <c r="C23" s="30"/>
    </row>
    <row r="24" spans="3:10">
      <c r="C24" s="42" t="s">
        <v>27</v>
      </c>
      <c r="D24" s="25">
        <f>D15-D22</f>
        <v>254698.78689794475</v>
      </c>
      <c r="E24" s="25">
        <f t="shared" ref="E24:J24" si="6">E15-E22</f>
        <v>29715.076362409349</v>
      </c>
      <c r="F24" s="25">
        <f t="shared" si="6"/>
        <v>29731.365826873938</v>
      </c>
      <c r="G24" s="25">
        <f t="shared" si="6"/>
        <v>29747.655291338517</v>
      </c>
      <c r="H24" s="25">
        <f t="shared" si="6"/>
        <v>29763.94475580311</v>
      </c>
      <c r="I24" s="25">
        <f t="shared" si="6"/>
        <v>29780.234220267703</v>
      </c>
      <c r="J24" s="25">
        <f t="shared" si="6"/>
        <v>29796.523684732296</v>
      </c>
    </row>
    <row r="25" spans="3:10">
      <c r="C25" s="42" t="s">
        <v>6</v>
      </c>
      <c r="D25" s="25">
        <f>D24</f>
        <v>254698.78689794475</v>
      </c>
      <c r="E25" s="25">
        <f>D25+E24</f>
        <v>284413.86326035409</v>
      </c>
      <c r="F25" s="25">
        <f t="shared" ref="F25:J25" si="7">E25+F24</f>
        <v>314145.22908722801</v>
      </c>
      <c r="G25" s="25">
        <f t="shared" si="7"/>
        <v>343892.88437856652</v>
      </c>
      <c r="H25" s="25">
        <f t="shared" si="7"/>
        <v>373656.82913436962</v>
      </c>
      <c r="I25" s="25">
        <f t="shared" si="7"/>
        <v>403437.0633546373</v>
      </c>
      <c r="J25" s="25">
        <f t="shared" si="7"/>
        <v>433233.58703936962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29599.838149196883</v>
      </c>
      <c r="E31" s="13">
        <f>'Expanded Profit and Loss'!D56+'Expanded Profit and Loss'!D55</f>
        <v>29616.127613661458</v>
      </c>
      <c r="F31" s="13">
        <f>'Expanded Profit and Loss'!E56+'Expanded Profit and Loss'!E55</f>
        <v>29632.417078126051</v>
      </c>
      <c r="G31" s="13">
        <f>'Expanded Profit and Loss'!F56+'Expanded Profit and Loss'!F55</f>
        <v>29648.706542590644</v>
      </c>
      <c r="H31" s="13">
        <f>'Expanded Profit and Loss'!G56+'Expanded Profit and Loss'!G55</f>
        <v>29664.996007055237</v>
      </c>
      <c r="I31" s="13">
        <f>'Cash Flow Analysis'!E6</f>
        <v>354904.84742999997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1500000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0</v>
      </c>
      <c r="J35" s="30"/>
    </row>
    <row r="36" spans="3:10">
      <c r="C36" s="12" t="s">
        <v>22</v>
      </c>
      <c r="D36" s="13">
        <f>$I$36/12</f>
        <v>709.91666666666663</v>
      </c>
      <c r="E36" s="13">
        <f t="shared" ref="E36:H36" si="11">$I$36/12</f>
        <v>709.91666666666663</v>
      </c>
      <c r="F36" s="13">
        <f t="shared" si="11"/>
        <v>709.91666666666663</v>
      </c>
      <c r="G36" s="13">
        <f t="shared" si="11"/>
        <v>709.91666666666663</v>
      </c>
      <c r="H36" s="13">
        <f t="shared" si="11"/>
        <v>709.91666666666663</v>
      </c>
      <c r="I36" s="20">
        <f>'Cash Flow Analysis'!E11</f>
        <v>8519</v>
      </c>
      <c r="J36" s="30"/>
    </row>
    <row r="37" spans="3:10">
      <c r="C37" s="37" t="s">
        <v>23</v>
      </c>
      <c r="D37" s="26">
        <f>SUM(D34:D36)</f>
        <v>709.91666666666663</v>
      </c>
      <c r="E37" s="26">
        <f t="shared" ref="E37:H37" si="12">SUM(E34:E36)</f>
        <v>709.91666666666663</v>
      </c>
      <c r="F37" s="26">
        <f t="shared" si="12"/>
        <v>709.91666666666663</v>
      </c>
      <c r="G37" s="26">
        <f t="shared" si="12"/>
        <v>709.91666666666663</v>
      </c>
      <c r="H37" s="26">
        <f t="shared" si="12"/>
        <v>709.91666666666663</v>
      </c>
      <c r="I37" s="44">
        <f>'Cash Flow Analysis'!E12</f>
        <v>1508519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30309.754815863551</v>
      </c>
      <c r="E40" s="27">
        <f t="shared" ref="E40:H40" si="13">E31+E37</f>
        <v>30326.044280328126</v>
      </c>
      <c r="F40" s="27">
        <f t="shared" si="13"/>
        <v>30342.333744792719</v>
      </c>
      <c r="G40" s="27">
        <f t="shared" si="13"/>
        <v>30358.623209257312</v>
      </c>
      <c r="H40" s="27">
        <f t="shared" si="13"/>
        <v>30374.912673721905</v>
      </c>
      <c r="I40" s="36">
        <f>'Cash Flow Analysis'!E15</f>
        <v>1863423.8474300001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0</v>
      </c>
      <c r="E43" s="6">
        <f>'Loan Amortization Table'!C22</f>
        <v>0</v>
      </c>
      <c r="F43" s="6">
        <f>'Loan Amortization Table'!C23</f>
        <v>0</v>
      </c>
      <c r="G43" s="6">
        <f>'Loan Amortization Table'!C24</f>
        <v>0</v>
      </c>
      <c r="H43" s="6">
        <f>'Loan Amortization Table'!C25</f>
        <v>0</v>
      </c>
      <c r="I43" s="6">
        <f>'Cash Flow Analysis'!E18</f>
        <v>0</v>
      </c>
      <c r="J43" s="30"/>
    </row>
    <row r="44" spans="3:10">
      <c r="C44" s="12" t="s">
        <v>25</v>
      </c>
      <c r="D44" s="13">
        <f>$I$44/12</f>
        <v>496.94166666666661</v>
      </c>
      <c r="E44" s="13">
        <f t="shared" ref="E44:H44" si="14">$I$44/12</f>
        <v>496.94166666666661</v>
      </c>
      <c r="F44" s="13">
        <f t="shared" si="14"/>
        <v>496.94166666666661</v>
      </c>
      <c r="G44" s="13">
        <f t="shared" si="14"/>
        <v>496.94166666666661</v>
      </c>
      <c r="H44" s="13">
        <f t="shared" si="14"/>
        <v>496.94166666666661</v>
      </c>
      <c r="I44" s="13">
        <f>'Cash Flow Analysis'!E19</f>
        <v>5963.2999999999993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1275000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248433.39320099997</v>
      </c>
      <c r="I46" s="13">
        <f>'Cash Flow Analysis'!E21</f>
        <v>248433.39320099997</v>
      </c>
      <c r="J46" s="30"/>
    </row>
    <row r="47" spans="3:10">
      <c r="C47" s="37" t="s">
        <v>26</v>
      </c>
      <c r="D47" s="26">
        <f>SUM(D43:D46)</f>
        <v>496.94166666666661</v>
      </c>
      <c r="E47" s="26">
        <f t="shared" ref="E47:H47" si="15">SUM(E43:E46)</f>
        <v>496.94166666666661</v>
      </c>
      <c r="F47" s="26">
        <f t="shared" si="15"/>
        <v>496.94166666666661</v>
      </c>
      <c r="G47" s="26">
        <f t="shared" si="15"/>
        <v>496.94166666666661</v>
      </c>
      <c r="H47" s="26">
        <f t="shared" si="15"/>
        <v>248930.33486766665</v>
      </c>
      <c r="I47" s="26">
        <f>'Cash Flow Analysis'!E22</f>
        <v>1529396.6932010001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29812.813149196885</v>
      </c>
      <c r="E49" s="25">
        <f t="shared" ref="E49:H49" si="16">E40-E47</f>
        <v>29829.10261366146</v>
      </c>
      <c r="F49" s="25">
        <f t="shared" si="16"/>
        <v>29845.392078126053</v>
      </c>
      <c r="G49" s="25">
        <f t="shared" si="16"/>
        <v>29861.681542590646</v>
      </c>
      <c r="H49" s="25">
        <f t="shared" si="16"/>
        <v>-218555.42219394475</v>
      </c>
      <c r="I49" s="45">
        <f>'Cash Flow Analysis'!E24</f>
        <v>334027.15422899998</v>
      </c>
      <c r="J49" s="30"/>
    </row>
    <row r="50" spans="3:10">
      <c r="C50" s="42" t="s">
        <v>6</v>
      </c>
      <c r="D50" s="25">
        <f>J25+D49</f>
        <v>463046.40018856653</v>
      </c>
      <c r="E50" s="25">
        <f>D50+E49</f>
        <v>492875.50280222797</v>
      </c>
      <c r="F50" s="25">
        <f t="shared" ref="F50:H50" si="17">E50+F49</f>
        <v>522720.89488035406</v>
      </c>
      <c r="G50" s="25">
        <f t="shared" si="17"/>
        <v>552582.57642294466</v>
      </c>
      <c r="H50" s="25">
        <f t="shared" si="17"/>
        <v>334027.15422899992</v>
      </c>
      <c r="I50" s="45">
        <f>'Cash Flow Analysis'!E25</f>
        <v>334027.15422899998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103492.45460574997</v>
      </c>
      <c r="E58" s="48">
        <f>'Expanded Profit and Loss'!D84+'Expanded Profit and Loss'!D83</f>
        <v>103492.45460574997</v>
      </c>
      <c r="F58" s="48">
        <f>'Expanded Profit and Loss'!E84+'Expanded Profit and Loss'!E83</f>
        <v>103492.45460574997</v>
      </c>
      <c r="G58" s="48">
        <f>'Expanded Profit and Loss'!F84+'Expanded Profit and Loss'!F83</f>
        <v>103492.45460574997</v>
      </c>
      <c r="H58" s="46">
        <f>'Cash Flow Analysis'!F6</f>
        <v>413969.81842299987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2172.3450000000003</v>
      </c>
      <c r="E63" s="49">
        <f>$H$63/4</f>
        <v>2172.3450000000003</v>
      </c>
      <c r="F63" s="49">
        <f>$H$63/4</f>
        <v>2172.3450000000003</v>
      </c>
      <c r="G63" s="49">
        <f>$H$63/4</f>
        <v>2172.3450000000003</v>
      </c>
      <c r="H63" s="13">
        <f>'Cash Flow Analysis'!F11</f>
        <v>8689.380000000001</v>
      </c>
    </row>
    <row r="64" spans="3:10">
      <c r="C64" s="37" t="s">
        <v>23</v>
      </c>
      <c r="D64" s="51">
        <f>SUM(D61:D63)</f>
        <v>2172.3450000000003</v>
      </c>
      <c r="E64" s="51">
        <f t="shared" ref="E64:G64" si="18">SUM(E61:E63)</f>
        <v>2172.3450000000003</v>
      </c>
      <c r="F64" s="51">
        <f t="shared" si="18"/>
        <v>2172.3450000000003</v>
      </c>
      <c r="G64" s="51">
        <f t="shared" si="18"/>
        <v>2172.3450000000003</v>
      </c>
      <c r="H64" s="32">
        <f>'Cash Flow Analysis'!F12</f>
        <v>8689.380000000001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105664.79960574997</v>
      </c>
      <c r="E67" s="48">
        <f t="shared" ref="E67:G67" si="19">E58+E64</f>
        <v>105664.79960574997</v>
      </c>
      <c r="F67" s="48">
        <f t="shared" si="19"/>
        <v>105664.79960574997</v>
      </c>
      <c r="G67" s="48">
        <f t="shared" si="19"/>
        <v>105664.79960574997</v>
      </c>
      <c r="H67" s="27">
        <f>'Cash Flow Analysis'!F15</f>
        <v>422659.19842299988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0</v>
      </c>
      <c r="E70" s="50">
        <f>SUM('Loan Amortization Table'!C29:C31)</f>
        <v>0</v>
      </c>
      <c r="F70" s="50">
        <f>SUM('Loan Amortization Table'!C32:C34)</f>
        <v>0</v>
      </c>
      <c r="G70" s="50">
        <f>SUM('Loan Amortization Table'!C35:C37)</f>
        <v>0</v>
      </c>
      <c r="H70" s="32">
        <f>'Cash Flow Analysis'!F18</f>
        <v>0</v>
      </c>
    </row>
    <row r="71" spans="3:8">
      <c r="C71" s="12" t="s">
        <v>25</v>
      </c>
      <c r="D71" s="49">
        <f>$H$71/4</f>
        <v>1520.6415000000002</v>
      </c>
      <c r="E71" s="49">
        <f>$H$71/4</f>
        <v>1520.6415000000002</v>
      </c>
      <c r="F71" s="49">
        <f>$H$71/4</f>
        <v>1520.6415000000002</v>
      </c>
      <c r="G71" s="49">
        <f>$H$71/4</f>
        <v>1520.6415000000002</v>
      </c>
      <c r="H71" s="13">
        <f>'Cash Flow Analysis'!F19</f>
        <v>6082.5660000000007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289778.87289609987</v>
      </c>
      <c r="H73" s="13">
        <f>'Cash Flow Analysis'!F21</f>
        <v>289778.87289609987</v>
      </c>
    </row>
    <row r="74" spans="3:8">
      <c r="C74" s="37" t="s">
        <v>26</v>
      </c>
      <c r="D74" s="51">
        <f>SUM(D70:D73)</f>
        <v>1520.6415000000002</v>
      </c>
      <c r="E74" s="51">
        <f t="shared" ref="E74:G74" si="20">SUM(E70:E73)</f>
        <v>1520.6415000000002</v>
      </c>
      <c r="F74" s="51">
        <f t="shared" si="20"/>
        <v>1520.6415000000002</v>
      </c>
      <c r="G74" s="51">
        <f t="shared" si="20"/>
        <v>291299.5143960999</v>
      </c>
      <c r="H74" s="34">
        <f>'Cash Flow Analysis'!F22</f>
        <v>295861.43889609986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104144.15810574997</v>
      </c>
      <c r="E76" s="52">
        <f t="shared" ref="E76:G76" si="21">E67-E74</f>
        <v>104144.15810574997</v>
      </c>
      <c r="F76" s="52">
        <f t="shared" si="21"/>
        <v>104144.15810574997</v>
      </c>
      <c r="G76" s="52">
        <f t="shared" si="21"/>
        <v>-185634.71479034994</v>
      </c>
      <c r="H76" s="40">
        <f>'Cash Flow Analysis'!F24</f>
        <v>126797.75952690002</v>
      </c>
    </row>
    <row r="77" spans="3:8">
      <c r="C77" s="42" t="s">
        <v>6</v>
      </c>
      <c r="D77" s="52">
        <f>I50+D76</f>
        <v>438171.31233474996</v>
      </c>
      <c r="E77" s="52">
        <f>D77+E76</f>
        <v>542315.47044049995</v>
      </c>
      <c r="F77" s="52">
        <f t="shared" ref="F77:G77" si="22">E77+F76</f>
        <v>646459.62854624994</v>
      </c>
      <c r="G77" s="52">
        <f t="shared" si="22"/>
        <v>460824.91375589999</v>
      </c>
      <c r="H77" s="40">
        <f>'Cash Flow Analysis'!F25</f>
        <v>460824.91375589999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119762.38050070003</v>
      </c>
      <c r="E84" s="48">
        <f>'Expanded Profit and Loss'!D114+'Expanded Profit and Loss'!D113</f>
        <v>119762.38050070003</v>
      </c>
      <c r="F84" s="48">
        <f>'Expanded Profit and Loss'!E114+'Expanded Profit and Loss'!E113</f>
        <v>119762.38050070003</v>
      </c>
      <c r="G84" s="48">
        <f>'Expanded Profit and Loss'!F114+'Expanded Profit and Loss'!F113</f>
        <v>119762.38050070003</v>
      </c>
      <c r="H84" s="27">
        <f>'Cash Flow Analysis'!G6</f>
        <v>479049.52200280013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2215.7919000000002</v>
      </c>
      <c r="E89" s="49">
        <f>$H$89/4</f>
        <v>2215.7919000000002</v>
      </c>
      <c r="F89" s="49">
        <f>$H$89/4</f>
        <v>2215.7919000000002</v>
      </c>
      <c r="G89" s="49">
        <f>$H$89/4</f>
        <v>2215.7919000000002</v>
      </c>
      <c r="H89" s="13">
        <f>'Cash Flow Analysis'!G12</f>
        <v>8863.1676000000007</v>
      </c>
    </row>
    <row r="90" spans="3:8">
      <c r="C90" s="37" t="s">
        <v>23</v>
      </c>
      <c r="D90" s="51">
        <f>SUM(D87:D89)</f>
        <v>2215.7919000000002</v>
      </c>
      <c r="E90" s="51">
        <f t="shared" ref="E90:G90" si="23">SUM(E87:E89)</f>
        <v>2215.7919000000002</v>
      </c>
      <c r="F90" s="51">
        <f t="shared" si="23"/>
        <v>2215.7919000000002</v>
      </c>
      <c r="G90" s="51">
        <f t="shared" si="23"/>
        <v>2215.7919000000002</v>
      </c>
      <c r="H90" s="34">
        <f>'Cash Flow Analysis'!G12</f>
        <v>8863.1676000000007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121978.17240070003</v>
      </c>
      <c r="E93" s="48">
        <f t="shared" ref="E93:G93" si="24">E90+E84</f>
        <v>121978.17240070003</v>
      </c>
      <c r="F93" s="48">
        <f t="shared" si="24"/>
        <v>121978.17240070003</v>
      </c>
      <c r="G93" s="48">
        <f t="shared" si="24"/>
        <v>121978.17240070003</v>
      </c>
      <c r="H93" s="27">
        <f>'Cash Flow Analysis'!G15</f>
        <v>487912.68960280012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0</v>
      </c>
      <c r="E96" s="50">
        <f>SUM('Loan Amortization Table'!C41:C43)</f>
        <v>0</v>
      </c>
      <c r="F96" s="50">
        <f>SUM('Loan Amortization Table'!C44:C46)</f>
        <v>0</v>
      </c>
      <c r="G96" s="50">
        <f>SUM('Loan Amortization Table'!C47:C49)</f>
        <v>0</v>
      </c>
      <c r="H96" s="32">
        <f>'Cash Flow Analysis'!G18</f>
        <v>0</v>
      </c>
    </row>
    <row r="97" spans="3:8">
      <c r="C97" s="12" t="s">
        <v>25</v>
      </c>
      <c r="D97" s="49">
        <f>$H$97/4</f>
        <v>1551.0543299999999</v>
      </c>
      <c r="E97" s="49">
        <f t="shared" ref="E97:G97" si="25">$H$97/4</f>
        <v>1551.0543299999999</v>
      </c>
      <c r="F97" s="49">
        <f t="shared" si="25"/>
        <v>1551.0543299999999</v>
      </c>
      <c r="G97" s="49">
        <f t="shared" si="25"/>
        <v>1551.0543299999999</v>
      </c>
      <c r="H97" s="13">
        <f>'Cash Flow Analysis'!G19</f>
        <v>6204.2173199999997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335334.66540196008</v>
      </c>
      <c r="H99" s="13">
        <f>'Cash Flow Analysis'!G21</f>
        <v>335334.66540196008</v>
      </c>
    </row>
    <row r="100" spans="3:8">
      <c r="C100" s="37" t="s">
        <v>26</v>
      </c>
      <c r="D100" s="51">
        <f>SUM(D96:D99)</f>
        <v>1551.0543299999999</v>
      </c>
      <c r="E100" s="51">
        <f t="shared" ref="E100:G100" si="26">SUM(E96:E99)</f>
        <v>1551.0543299999999</v>
      </c>
      <c r="F100" s="51">
        <f t="shared" si="26"/>
        <v>1551.0543299999999</v>
      </c>
      <c r="G100" s="51">
        <f t="shared" si="26"/>
        <v>336885.7197319601</v>
      </c>
      <c r="H100" s="34">
        <f>'Cash Flow Analysis'!G22</f>
        <v>341538.88272196008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120427.11807070003</v>
      </c>
      <c r="E102" s="52">
        <f t="shared" ref="E102:G102" si="27">E93-E100</f>
        <v>120427.11807070003</v>
      </c>
      <c r="F102" s="52">
        <f t="shared" si="27"/>
        <v>120427.11807070003</v>
      </c>
      <c r="G102" s="52">
        <f t="shared" si="27"/>
        <v>-214907.54733126005</v>
      </c>
      <c r="H102" s="40">
        <f>'Cash Flow Analysis'!G24</f>
        <v>146373.80688084004</v>
      </c>
    </row>
    <row r="103" spans="3:8">
      <c r="C103" s="42" t="s">
        <v>6</v>
      </c>
      <c r="D103" s="52">
        <f>G77+D102</f>
        <v>581252.03182659997</v>
      </c>
      <c r="E103" s="52">
        <f>D103+E102</f>
        <v>701679.14989729994</v>
      </c>
      <c r="F103" s="52">
        <f t="shared" ref="F103:G103" si="28">E103+F102</f>
        <v>822106.26796799991</v>
      </c>
      <c r="G103" s="52">
        <f t="shared" si="28"/>
        <v>607198.72063673986</v>
      </c>
      <c r="H103" s="40">
        <f>'Cash Flow Analysis'!G25</f>
        <v>607198.72063674009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L24" sqref="L24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0.1</v>
      </c>
      <c r="H5" s="109">
        <f>Inputs!C47</f>
        <v>0.1</v>
      </c>
      <c r="I5" s="125"/>
      <c r="J5" s="108"/>
      <c r="K5" s="109"/>
      <c r="L5" s="109"/>
      <c r="M5" s="109"/>
    </row>
    <row r="6" spans="5:13">
      <c r="E6" s="94" t="str">
        <f>Inputs!B5</f>
        <v>Rental Fees</v>
      </c>
      <c r="F6" s="94">
        <f>SUM(Inputs!C32:N32)</f>
        <v>1201320</v>
      </c>
      <c r="G6" s="94">
        <f t="shared" ref="G6:H15" si="0">F6*(1+G$5)</f>
        <v>1321452</v>
      </c>
      <c r="H6" s="94">
        <f t="shared" si="0"/>
        <v>1453597.2000000002</v>
      </c>
      <c r="I6" s="127"/>
      <c r="J6" s="94" t="str">
        <f>E6</f>
        <v>Rental Fees</v>
      </c>
      <c r="K6" s="143">
        <f>F6/$F$16</f>
        <v>0.93023255813953487</v>
      </c>
      <c r="L6" s="143">
        <f>G6/$G$16</f>
        <v>0.93023255813953498</v>
      </c>
      <c r="M6" s="143">
        <f>H6/$H$16</f>
        <v>0.93023255813953487</v>
      </c>
    </row>
    <row r="7" spans="5:13">
      <c r="E7" s="94" t="str">
        <f>Inputs!B6</f>
        <v>Other Income</v>
      </c>
      <c r="F7" s="94">
        <f>SUM(Inputs!C33:N33)</f>
        <v>90099</v>
      </c>
      <c r="G7" s="94">
        <f t="shared" si="0"/>
        <v>99108.900000000009</v>
      </c>
      <c r="H7" s="94">
        <f t="shared" si="0"/>
        <v>109019.79000000002</v>
      </c>
      <c r="I7" s="127"/>
      <c r="J7" s="94" t="str">
        <f t="shared" ref="J7:J15" si="1">E7</f>
        <v>Other Income</v>
      </c>
      <c r="K7" s="143">
        <f t="shared" ref="K7:K15" si="2">F7/$F$16</f>
        <v>6.9767441860465115E-2</v>
      </c>
      <c r="L7" s="143">
        <f t="shared" ref="L7:L15" si="3">G7/$G$16</f>
        <v>6.9767441860465129E-2</v>
      </c>
      <c r="M7" s="143">
        <f t="shared" ref="M7:M15" si="4">H7/$H$16</f>
        <v>6.9767441860465115E-2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1291419</v>
      </c>
      <c r="G16" s="99">
        <f>SUM(G6:G15)</f>
        <v>1420560.9</v>
      </c>
      <c r="H16" s="99">
        <f>SUM(H6:H15)</f>
        <v>1562616.9900000002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0.1</v>
      </c>
      <c r="H20" s="109">
        <f>H5</f>
        <v>0.1</v>
      </c>
      <c r="I20" s="125"/>
      <c r="K20" s="125"/>
      <c r="L20" s="125"/>
      <c r="M20" s="125"/>
    </row>
    <row r="21" spans="5:13">
      <c r="E21" s="94" t="str">
        <f>E6</f>
        <v>Rental Fees</v>
      </c>
      <c r="F21" s="94">
        <f>SUM(Inputs!C51:N51)</f>
        <v>180198</v>
      </c>
      <c r="G21" s="94">
        <f t="shared" ref="G21:H30" si="5">F21*(1+G$20)</f>
        <v>198217.80000000002</v>
      </c>
      <c r="H21" s="94">
        <f t="shared" si="5"/>
        <v>218039.58000000005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Other Income</v>
      </c>
      <c r="F22" s="94">
        <f>SUM(Inputs!C52:N52)</f>
        <v>4504.95</v>
      </c>
      <c r="G22" s="94">
        <f t="shared" si="5"/>
        <v>4955.4450000000006</v>
      </c>
      <c r="H22" s="94">
        <f t="shared" si="5"/>
        <v>5450.9895000000015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184702.95</v>
      </c>
      <c r="G31" s="100">
        <f>SUM(G21:G30)</f>
        <v>203173.24500000002</v>
      </c>
      <c r="H31" s="100">
        <f>SUM(H21:H30)</f>
        <v>223490.56950000004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2025-10-04T13:28:49Z</dcterms:modified>
</cp:coreProperties>
</file>