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Home Healthcare Agency\"/>
    </mc:Choice>
  </mc:AlternateContent>
  <xr:revisionPtr revIDLastSave="0" documentId="13_ncr:1_{9E2E001D-4408-4D54-AE2C-0D5B85C3FA37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7" l="1"/>
  <c r="L37" i="7"/>
  <c r="L38" i="7"/>
  <c r="L39" i="7"/>
  <c r="L40" i="7"/>
  <c r="B25" i="7"/>
  <c r="B26" i="7"/>
  <c r="B27" i="7"/>
  <c r="B28" i="7"/>
  <c r="B29" i="7"/>
  <c r="G11" i="7" s="1"/>
  <c r="B30" i="7"/>
  <c r="B31" i="7"/>
  <c r="B32" i="7"/>
  <c r="G14" i="7" s="1"/>
  <c r="G26" i="7" s="1"/>
  <c r="B33" i="7"/>
  <c r="B24" i="7"/>
  <c r="H8" i="14"/>
  <c r="G8" i="14"/>
  <c r="C33" i="23"/>
  <c r="J8" i="9"/>
  <c r="J9" i="9"/>
  <c r="J10" i="9"/>
  <c r="J11" i="9"/>
  <c r="J12" i="9"/>
  <c r="J13" i="9"/>
  <c r="J14" i="9"/>
  <c r="J15" i="9"/>
  <c r="E20" i="3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5" i="7"/>
  <c r="G27" i="7" s="1"/>
  <c r="L32" i="7"/>
  <c r="L35" i="7"/>
  <c r="L3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B59" i="7"/>
  <c r="B60" i="7"/>
  <c r="B61" i="7"/>
  <c r="B62" i="7"/>
  <c r="B63" i="7"/>
  <c r="B64" i="7"/>
  <c r="B65" i="7"/>
  <c r="B66" i="7"/>
  <c r="B67" i="7"/>
  <c r="B58" i="7"/>
  <c r="G10" i="7"/>
  <c r="G22" i="7" s="1"/>
  <c r="D87" i="12"/>
  <c r="H87" i="12"/>
  <c r="D88" i="12"/>
  <c r="H88" i="12"/>
  <c r="E23" i="6"/>
  <c r="D61" i="12"/>
  <c r="H62" i="12"/>
  <c r="D62" i="12" s="1"/>
  <c r="H61" i="12"/>
  <c r="E36" i="12"/>
  <c r="E37" i="12" s="1"/>
  <c r="H36" i="12"/>
  <c r="H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D58" i="7"/>
  <c r="E58" i="7" s="1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D33" i="23" l="1"/>
  <c r="D52" i="23" s="1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G33" i="23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M38" i="7" l="1"/>
  <c r="M36" i="7"/>
  <c r="M40" i="7"/>
  <c r="M39" i="7"/>
  <c r="M37" i="7"/>
  <c r="F66" i="23"/>
  <c r="G42" i="23"/>
  <c r="G52" i="23"/>
  <c r="H52" i="23"/>
  <c r="H51" i="23"/>
  <c r="M34" i="7"/>
  <c r="M33" i="7"/>
  <c r="M35" i="7"/>
  <c r="M31" i="7"/>
  <c r="M32" i="7"/>
  <c r="I32" i="23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I33" i="23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H10" i="11"/>
  <c r="G10" i="11"/>
  <c r="G8" i="11"/>
  <c r="E17" i="8"/>
  <c r="D18" i="8" s="1"/>
  <c r="G18" i="12"/>
  <c r="G22" i="12" s="1"/>
  <c r="A21" i="8"/>
  <c r="B20" i="8"/>
  <c r="L51" i="23" l="1"/>
  <c r="L33" i="23"/>
  <c r="L52" i="23" s="1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C38" i="11"/>
  <c r="I8" i="11"/>
  <c r="I10" i="11"/>
  <c r="E18" i="8"/>
  <c r="D19" i="8" s="1"/>
  <c r="H26" i="11" s="1"/>
  <c r="A23" i="8"/>
  <c r="B22" i="8"/>
  <c r="N51" i="23" l="1"/>
  <c r="F21" i="9" s="1"/>
  <c r="N33" i="23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0" i="3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<sst xmlns="http://schemas.openxmlformats.org/spreadsheetml/2006/main" count="315" uniqueCount="136">
  <si>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</si>
  <si>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</si>
  <si>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</si>
  <si>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</si>
  <si>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</si>
  <si>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</si>
  <si>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</si>
  <si>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</si>
  <si>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</si>
  <si>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</si>
  <si>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</si>
  <si>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</si>
  <si>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</si>
  <si>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</si>
  <si>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</si>
  <si>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</si>
  <si>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</si>
  <si>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</si>
  <si>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</si>
  <si>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</si>
  <si>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</si>
  <si>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</si>
  <si>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</si>
  <si>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</si>
  <si>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</si>
  <si>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</si>
  <si>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</si>
  <si>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</si>
  <si>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</si>
  <si>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</si>
  <si>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</si>
  <si>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</si>
  <si>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</si>
  <si>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</si>
  <si>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</si>
  <si>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</si>
  <si>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</si>
  <si>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</si>
  <si>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</si>
  <si>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</si>
  <si>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</si>
  <si>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</si>
  <si>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</si>
  <si>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</si>
  <si>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</si>
  <si>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</si>
  <si>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</si>
  <si>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</si>
  <si>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</si>
  <si>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</si>
  <si>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</si>
  <si>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</si>
  <si>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</si>
  <si>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</si>
  <si>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</si>
  <si>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</si>
  <si>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</si>
  <si>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</si>
  <si>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</si>
  <si>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</si>
  <si>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</si>
  <si>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</si>
  <si>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</si>
  <si>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</si>
  <si>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</si>
  <si>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</si>
  <si>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</si>
  <si>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</si>
  <si>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</si>
  <si>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</si>
  <si>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</si>
  <si>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</si>
  <si>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</si>
  <si>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</si>
  <si>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</si>
  <si>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</si>
  <si>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</si>
  <si>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</si>
  <si>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</si>
  <si>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</si>
  <si>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</si>
  <si>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</si>
  <si>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</si>
  <si>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</si>
  <si>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</si>
  <si>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</si>
  <si>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</si>
  <si>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</si>
  <si>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</si>
  <si>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</si>
  <si>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</si>
  <si>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</si>
  <si>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</si>
  <si>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</si>
  <si>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</si>
  <si>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</si>
  <si>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</si>
  <si>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</si>
  <si>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</si>
  <si>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</si>
  <si>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</si>
  <si>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</si>
  <si>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</si>
  <si>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</si>
  <si>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</si>
  <si>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</si>
  <si>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</si>
  <si>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</si>
  <si>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</si>
  <si>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</si>
  <si>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</si>
  <si>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</si>
  <si>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</si>
  <si>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</si>
  <si>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</si>
  <si>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</si>
  <si>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Initial Marketing</t>
  </si>
  <si>
    <t>Equipment</t>
  </si>
  <si>
    <t>Initial Payroll</t>
  </si>
  <si>
    <t>Facility Costs</t>
  </si>
  <si>
    <t>Marketing</t>
  </si>
  <si>
    <t>Operational Managers</t>
  </si>
  <si>
    <t>Administrative and Accounting Staff</t>
  </si>
  <si>
    <t>Equipment Costs</t>
  </si>
  <si>
    <t>Position 6</t>
  </si>
  <si>
    <t>Position 10</t>
  </si>
  <si>
    <t>Fixed Assets</t>
  </si>
  <si>
    <t>Yearly Growth Rate</t>
  </si>
  <si>
    <t>In Home Care Staff</t>
  </si>
  <si>
    <t>Support Staff</t>
  </si>
  <si>
    <t>Home Healthcare Services</t>
  </si>
  <si>
    <t>Support and Ancillary Fees</t>
  </si>
  <si>
    <t>6021 Media Holdings</t>
  </si>
  <si>
    <t>Postion 7</t>
  </si>
  <si>
    <t>Postion 8</t>
  </si>
  <si>
    <t>Postion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</si>
</sst>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11" borderId="1" xfId="0" applyFill="1" applyBorder="1"/>
    <xf numFmtId="164" fontId="0" fillId="11" borderId="1" xfId="0" applyNumberFormat="1" applyFill="1" applyBorder="1"/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0" fillId="3" borderId="3" xfId="0" applyFill="1" applyBorder="1" applyAlignment="1">
      <alignment horizontal="center"/>
    </xf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11" fillId="0" borderId="0" xfId="0" applyFont="1"/>
  </cellXfs>
  <cellStyles count="2"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113284.5961733372</c:v>
                </c:pt>
                <c:pt idx="1">
                  <c:v>177500.93310231873</c:v>
                </c:pt>
                <c:pt idx="2">
                  <c:v>233880.76559152227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8949.7927875610221</c:v>
                </c:pt>
                <c:pt idx="1">
                  <c:v>9596.7740318203614</c:v>
                </c:pt>
                <c:pt idx="2">
                  <c:v>10290.525602539681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79299.217321336037</c:v>
                </c:pt>
                <c:pt idx="1">
                  <c:v>124250.6531716231</c:v>
                </c:pt>
                <c:pt idx="2">
                  <c:v>163716.53591406558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113284.5961733372</c:v>
                </c:pt>
                <c:pt idx="1">
                  <c:v>177500.93310231873</c:v>
                </c:pt>
                <c:pt idx="2">
                  <c:v>233880.76559152227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00BC-4916-B579-6080B6AB28FE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00BC-4916-B579-6080B6AB28F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79299.217321336037</c:v>
                </c:pt>
                <c:pt idx="1">
                  <c:v>124250.6531716231</c:v>
                </c:pt>
                <c:pt idx="2">
                  <c:v>163716.53591406558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193035.58606444014</c:v>
                </c:pt>
                <c:pt idx="1">
                  <c:v>119050.20721243898</c:v>
                </c:pt>
                <c:pt idx="2">
                  <c:v>73985.378852001159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229749.09196331541</c:v>
                </c:pt>
                <c:pt idx="1">
                  <c:v>112513.43318061862</c:v>
                </c:pt>
                <c:pt idx="2">
                  <c:v>117235.65878269679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282743.99603823246</c:v>
                </c:pt>
                <c:pt idx="1">
                  <c:v>105344.10757807894</c:v>
                </c:pt>
                <c:pt idx="2">
                  <c:v>177399.88846015354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5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193035.58606444014</c:v>
                </c:pt>
                <c:pt idx="1">
                  <c:v>229749.09196331541</c:v>
                </c:pt>
                <c:pt idx="2">
                  <c:v>282743.99603823246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8-4EFB-B96A-6CC4C5DA58F9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2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119050.20721243898</c:v>
                </c:pt>
                <c:pt idx="1">
                  <c:v>112513.43318061862</c:v>
                </c:pt>
                <c:pt idx="2">
                  <c:v>105344.10757807894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68-4EFB-B96A-6CC4C5DA58F9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72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73985.378852001159</c:v>
                </c:pt>
                <c:pt idx="1">
                  <c:v>117235.65878269679</c:v>
                </c:pt>
                <c:pt idx="2">
                  <c:v>177399.88846015354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68-4EFB-B96A-6CC4C5DA5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504160"/>
        <c:axId val="1805920720"/>
      </c:barChart>
      <c:catAx>
        <c:axId val="19005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5920720"/>
        <c:crosses val="autoZero"/>
        <c:auto val="1"/>
        <c:lblAlgn val="ctr"/>
        <c:lblOffset val="100"/>
        <c:noMultiLvlLbl val="0"/>
      </c:catAx>
      <c:valAx>
        <c:axId val="180592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50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394028.41873684211</c:v>
                </c:pt>
                <c:pt idx="1">
                  <c:v>411899.93143157894</c:v>
                </c:pt>
                <c:pt idx="2">
                  <c:v>430229.25325157889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394028.41873684211</c:v>
                </c:pt>
                <c:pt idx="1">
                  <c:v>411899.93143157894</c:v>
                </c:pt>
                <c:pt idx="2">
                  <c:v>430229.25325157889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568782</c:v>
                </c:pt>
                <c:pt idx="1">
                  <c:v>682538.4</c:v>
                </c:pt>
                <c:pt idx="2">
                  <c:v>784919.15999999992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374326.99780000001</c:v>
                </c:pt>
                <c:pt idx="1">
                  <c:v>391304.93485999998</c:v>
                </c:pt>
                <c:pt idx="2">
                  <c:v>408717.79058899992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166015.90220000001</c:v>
                </c:pt>
                <c:pt idx="1">
                  <c:v>257106.54514</c:v>
                </c:pt>
                <c:pt idx="2">
                  <c:v>336955.41141100001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568782</c:v>
                </c:pt>
                <c:pt idx="1">
                  <c:v>682538.4</c:v>
                </c:pt>
                <c:pt idx="2">
                  <c:v>784919.15999999992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166015.90220000001</c:v>
                </c:pt>
                <c:pt idx="1">
                  <c:v>257106.54514</c:v>
                </c:pt>
                <c:pt idx="2">
                  <c:v>336955.41141100001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4040684234858858E-2"/>
                  <c:y val="-7.9389537514707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374326.99780000001</c:v>
                </c:pt>
                <c:pt idx="1">
                  <c:v>391304.93485999998</c:v>
                </c:pt>
                <c:pt idx="2">
                  <c:v>408717.79058899992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Home Healthcare Services</c:v>
                </c:pt>
                <c:pt idx="1">
                  <c:v>Support and Ancillary Fees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0.7407407407407407</c:v>
                </c:pt>
                <c:pt idx="1">
                  <c:v>0.25925925925925924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5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193035.58606444014</c:v>
                </c:pt>
                <c:pt idx="1">
                  <c:v>229749.09196331541</c:v>
                </c:pt>
                <c:pt idx="2">
                  <c:v>282743.99603823246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1-49D5-9DF5-F8406F7089BE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2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119050.20721243898</c:v>
                </c:pt>
                <c:pt idx="1">
                  <c:v>112513.43318061862</c:v>
                </c:pt>
                <c:pt idx="2">
                  <c:v>105344.10757807894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B1-49D5-9DF5-F8406F7089BE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72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73985.378852001159</c:v>
                </c:pt>
                <c:pt idx="1">
                  <c:v>117235.65878269679</c:v>
                </c:pt>
                <c:pt idx="2">
                  <c:v>177399.88846015354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B1-49D5-9DF5-F8406F70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504160"/>
        <c:axId val="1805920720"/>
      </c:barChart>
      <c:catAx>
        <c:axId val="19005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5920720"/>
        <c:crosses val="autoZero"/>
        <c:auto val="1"/>
        <c:lblAlgn val="ctr"/>
        <c:lblOffset val="100"/>
        <c:noMultiLvlLbl val="0"/>
      </c:catAx>
      <c:valAx>
        <c:axId val="180592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50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Operational Managers</c:v>
                </c:pt>
                <c:pt idx="2">
                  <c:v>In Home Care Staff</c:v>
                </c:pt>
                <c:pt idx="3">
                  <c:v>Support Staff</c:v>
                </c:pt>
                <c:pt idx="4">
                  <c:v>Administrative and Accounting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0.17094017094017094</c:v>
                </c:pt>
                <c:pt idx="1">
                  <c:v>0.14529914529914531</c:v>
                </c:pt>
                <c:pt idx="2">
                  <c:v>0.27350427350427353</c:v>
                </c:pt>
                <c:pt idx="3">
                  <c:v>0.25641025641025639</c:v>
                </c:pt>
                <c:pt idx="4">
                  <c:v>0.15384615384615385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Home Healthcare Services</c:v>
                </c:pt>
                <c:pt idx="1">
                  <c:v>Support and Ancillary Fees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0.7407407407407407</c:v>
                </c:pt>
                <c:pt idx="1">
                  <c:v>0.25925925925925924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Equipment</c:v>
                </c:pt>
                <c:pt idx="1">
                  <c:v>Initial Payroll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25000</c:v>
                </c:pt>
                <c:pt idx="1">
                  <c:v>50000</c:v>
                </c:pt>
                <c:pt idx="2">
                  <c:v>35000</c:v>
                </c:pt>
                <c:pt idx="3">
                  <c:v>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568782</c:v>
                </c:pt>
                <c:pt idx="1">
                  <c:v>682538.4</c:v>
                </c:pt>
                <c:pt idx="2">
                  <c:v>784919.15999999992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374326.99780000001</c:v>
                </c:pt>
                <c:pt idx="1">
                  <c:v>391304.93485999998</c:v>
                </c:pt>
                <c:pt idx="2">
                  <c:v>408717.79058899992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166015.90220000001</c:v>
                </c:pt>
                <c:pt idx="1">
                  <c:v>257106.54514</c:v>
                </c:pt>
                <c:pt idx="2">
                  <c:v>336955.41141100001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568782</c:v>
                </c:pt>
                <c:pt idx="1">
                  <c:v>682538.4</c:v>
                </c:pt>
                <c:pt idx="2">
                  <c:v>784919.15999999992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166015.90220000001</c:v>
                </c:pt>
                <c:pt idx="1">
                  <c:v>257106.54514</c:v>
                </c:pt>
                <c:pt idx="2">
                  <c:v>336955.41141100001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374326.99780000001</c:v>
                </c:pt>
                <c:pt idx="1">
                  <c:v>391304.93485999998</c:v>
                </c:pt>
                <c:pt idx="2">
                  <c:v>408717.79058899992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113284.5961733372</c:v>
                </c:pt>
                <c:pt idx="1">
                  <c:v>177500.93310231873</c:v>
                </c:pt>
                <c:pt idx="2">
                  <c:v>233880.76559152227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8949.7927875610221</c:v>
                </c:pt>
                <c:pt idx="1">
                  <c:v>9596.7740318203614</c:v>
                </c:pt>
                <c:pt idx="2">
                  <c:v>10290.525602539681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79299.217321336037</c:v>
                </c:pt>
                <c:pt idx="1">
                  <c:v>124250.6531716231</c:v>
                </c:pt>
                <c:pt idx="2">
                  <c:v>163716.53591406558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113284.5961733372</c:v>
                </c:pt>
                <c:pt idx="1">
                  <c:v>177500.93310231873</c:v>
                </c:pt>
                <c:pt idx="2">
                  <c:v>233880.76559152227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689E-4D99-BF31-722ED50168C7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689E-4D99-BF31-722ED50168C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79299.217321336037</c:v>
                </c:pt>
                <c:pt idx="1">
                  <c:v>124250.6531716231</c:v>
                </c:pt>
                <c:pt idx="2">
                  <c:v>163716.53591406558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0</xdr:row>
      <xdr:rowOff>189303</xdr:rowOff>
    </xdr:from>
    <xdr:to>
      <xdr:col>21</xdr:col>
      <xdr:colOff>76200</xdr:colOff>
      <xdr:row>26</xdr:row>
      <xdr:rowOff>99015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EE5B852-BE72-72F2-0956-09ECC6376077}"/>
            </a:ext>
          </a:extLst>
        </xdr:cNvPr>
        <xdr:cNvSpPr/>
      </xdr:nvSpPr>
      <xdr:spPr>
        <a:xfrm>
          <a:off x="6200775" y="189303"/>
          <a:ext cx="10496550" cy="4862712"/>
        </a:xfrm>
        <a:prstGeom prst="rect">
          <a:avLst/>
        </a:prstGeom>
        <a:gradFill>
          <a:gsLst>
            <a:gs pos="0">
              <a:schemeClr val="bg1"/>
            </a:gs>
            <a:gs pos="92000">
              <a:schemeClr val="accent5">
                <a:lumMod val="40000"/>
                <a:lumOff val="60000"/>
              </a:schemeClr>
            </a:gs>
          </a:gsLst>
          <a:lin ang="1800000" scaled="0"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5</xdr:col>
      <xdr:colOff>314325</xdr:colOff>
      <xdr:row>1</xdr:row>
      <xdr:rowOff>9525</xdr:rowOff>
    </xdr:from>
    <xdr:to>
      <xdr:col>21</xdr:col>
      <xdr:colOff>85725</xdr:colOff>
      <xdr:row>26</xdr:row>
      <xdr:rowOff>104775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B4E60E3B-3427-9091-1C4C-0092D372E5B2}"/>
            </a:ext>
          </a:extLst>
        </xdr:cNvPr>
        <xdr:cNvSpPr/>
      </xdr:nvSpPr>
      <xdr:spPr>
        <a:xfrm>
          <a:off x="6210300" y="200025"/>
          <a:ext cx="10496550" cy="4857750"/>
        </a:xfrm>
        <a:custGeom>
          <a:avLst/>
          <a:gdLst>
            <a:gd name="connsiteX0" fmla="*/ 8164286 w 12192000"/>
            <a:gd name="connsiteY0" fmla="*/ 0 h 6851002"/>
            <a:gd name="connsiteX1" fmla="*/ 8285584 w 12192000"/>
            <a:gd name="connsiteY1" fmla="*/ 0 h 6851002"/>
            <a:gd name="connsiteX2" fmla="*/ 8285584 w 12192000"/>
            <a:gd name="connsiteY2" fmla="*/ 3331028 h 6851002"/>
            <a:gd name="connsiteX3" fmla="*/ 12192000 w 12192000"/>
            <a:gd name="connsiteY3" fmla="*/ 3331028 h 6851002"/>
            <a:gd name="connsiteX4" fmla="*/ 12192000 w 12192000"/>
            <a:gd name="connsiteY4" fmla="*/ 3429000 h 6851002"/>
            <a:gd name="connsiteX5" fmla="*/ 4142793 w 12192000"/>
            <a:gd name="connsiteY5" fmla="*/ 3429000 h 6851002"/>
            <a:gd name="connsiteX6" fmla="*/ 4142793 w 12192000"/>
            <a:gd name="connsiteY6" fmla="*/ 6851002 h 6851002"/>
            <a:gd name="connsiteX7" fmla="*/ 4021496 w 12192000"/>
            <a:gd name="connsiteY7" fmla="*/ 6851002 h 6851002"/>
            <a:gd name="connsiteX8" fmla="*/ 4021496 w 12192000"/>
            <a:gd name="connsiteY8" fmla="*/ 3429000 h 6851002"/>
            <a:gd name="connsiteX9" fmla="*/ 0 w 12192000"/>
            <a:gd name="connsiteY9" fmla="*/ 3429000 h 6851002"/>
            <a:gd name="connsiteX10" fmla="*/ 0 w 12192000"/>
            <a:gd name="connsiteY10" fmla="*/ 3331028 h 6851002"/>
            <a:gd name="connsiteX11" fmla="*/ 8164286 w 12192000"/>
            <a:gd name="connsiteY11" fmla="*/ 3331028 h 68510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12192000" h="6851002">
              <a:moveTo>
                <a:pt x="8164286" y="0"/>
              </a:moveTo>
              <a:lnTo>
                <a:pt x="8285584" y="0"/>
              </a:lnTo>
              <a:lnTo>
                <a:pt x="8285584" y="3331028"/>
              </a:lnTo>
              <a:lnTo>
                <a:pt x="12192000" y="3331028"/>
              </a:lnTo>
              <a:lnTo>
                <a:pt x="12192000" y="3429000"/>
              </a:lnTo>
              <a:lnTo>
                <a:pt x="4142793" y="3429000"/>
              </a:lnTo>
              <a:lnTo>
                <a:pt x="4142793" y="6851002"/>
              </a:lnTo>
              <a:lnTo>
                <a:pt x="4021496" y="6851002"/>
              </a:lnTo>
              <a:lnTo>
                <a:pt x="4021496" y="3429000"/>
              </a:lnTo>
              <a:lnTo>
                <a:pt x="0" y="3429000"/>
              </a:lnTo>
              <a:lnTo>
                <a:pt x="0" y="3331028"/>
              </a:lnTo>
              <a:lnTo>
                <a:pt x="8164286" y="3331028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390525</xdr:colOff>
      <xdr:row>2</xdr:row>
      <xdr:rowOff>152400</xdr:rowOff>
    </xdr:from>
    <xdr:to>
      <xdr:col>21</xdr:col>
      <xdr:colOff>161925</xdr:colOff>
      <xdr:row>12</xdr:row>
      <xdr:rowOff>160727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B8F65E-1415-493F-BCA5-6934DA6E4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590550</xdr:colOff>
      <xdr:row>28</xdr:row>
      <xdr:rowOff>114300</xdr:rowOff>
    </xdr:from>
    <xdr:to>
      <xdr:col>20</xdr:col>
      <xdr:colOff>66675</xdr:colOff>
      <xdr:row>38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165FF2-322F-B81B-C00F-FE8AB3F30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5448300"/>
          <a:ext cx="25241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304800</xdr:colOff>
      <xdr:row>1</xdr:row>
      <xdr:rowOff>57150</xdr:rowOff>
    </xdr:from>
    <xdr:to>
      <xdr:col>22</xdr:col>
      <xdr:colOff>390525</xdr:colOff>
      <xdr:row>10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0D8C13-3366-8DB9-FC71-5882745EB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247650"/>
          <a:ext cx="25241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466725</xdr:colOff>
      <xdr:row>1</xdr:row>
      <xdr:rowOff>104775</xdr:rowOff>
    </xdr:from>
    <xdr:to>
      <xdr:col>26</xdr:col>
      <xdr:colOff>552450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63FFB3-9880-B794-9F84-66D7FB9AC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295275"/>
          <a:ext cx="25241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142875</xdr:rowOff>
    </xdr:from>
    <xdr:to>
      <xdr:col>26</xdr:col>
      <xdr:colOff>247650</xdr:colOff>
      <xdr:row>10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BF4005-B488-5E2A-7BCE-680705076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20950" y="142875"/>
          <a:ext cx="25241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561975</xdr:colOff>
      <xdr:row>1</xdr:row>
      <xdr:rowOff>66675</xdr:rowOff>
    </xdr:from>
    <xdr:to>
      <xdr:col>26</xdr:col>
      <xdr:colOff>38100</xdr:colOff>
      <xdr:row>10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E09B3D-9EE6-20D4-54BD-EE6B10CE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2325" y="257175"/>
          <a:ext cx="25241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180974</xdr:colOff>
      <xdr:row>3</xdr:row>
      <xdr:rowOff>23811</xdr:rowOff>
    </xdr:from>
    <xdr:to>
      <xdr:col>19</xdr:col>
      <xdr:colOff>76199</xdr:colOff>
      <xdr:row>27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447675</xdr:colOff>
      <xdr:row>30</xdr:row>
      <xdr:rowOff>9525</xdr:rowOff>
    </xdr:from>
    <xdr:to>
      <xdr:col>13</xdr:col>
      <xdr:colOff>619125</xdr:colOff>
      <xdr:row>39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D0F7EB-9B17-D249-8E0D-1F98D1DBE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0" y="5724525"/>
          <a:ext cx="25241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371475</xdr:colOff>
      <xdr:row>18</xdr:row>
      <xdr:rowOff>114300</xdr:rowOff>
    </xdr:from>
    <xdr:to>
      <xdr:col>12</xdr:col>
      <xdr:colOff>361950</xdr:colOff>
      <xdr:row>28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8625F9-9436-98F1-5D0B-296D51AEF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543300"/>
          <a:ext cx="25241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22</xdr:col>
      <xdr:colOff>133350</xdr:colOff>
      <xdr:row>1</xdr:row>
      <xdr:rowOff>9525</xdr:rowOff>
    </xdr:from>
    <xdr:to>
      <xdr:col>26</xdr:col>
      <xdr:colOff>219075</xdr:colOff>
      <xdr:row>10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8A0085-8024-8CB1-D29B-DB9EE2FF5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5825" y="200025"/>
          <a:ext cx="25241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133350</xdr:colOff>
      <xdr:row>2</xdr:row>
      <xdr:rowOff>57150</xdr:rowOff>
    </xdr:from>
    <xdr:to>
      <xdr:col>24</xdr:col>
      <xdr:colOff>219075</xdr:colOff>
      <xdr:row>11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E6E74F-4A6D-A737-8ADA-7B5DBE8A7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6175" y="438150"/>
          <a:ext cx="25241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219075</xdr:colOff>
      <xdr:row>1</xdr:row>
      <xdr:rowOff>47625</xdr:rowOff>
    </xdr:from>
    <xdr:to>
      <xdr:col>25</xdr:col>
      <xdr:colOff>304800</xdr:colOff>
      <xdr:row>10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BE424A-CADD-EEC9-91FB-6425A1FA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5225" y="238125"/>
          <a:ext cx="25241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342900</xdr:colOff>
      <xdr:row>4</xdr:row>
      <xdr:rowOff>71437</xdr:rowOff>
    </xdr:from>
    <xdr:to>
      <xdr:col>14</xdr:col>
      <xdr:colOff>171450</xdr:colOff>
      <xdr:row>18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CF0449-0C6B-487D-89BB-0E161BEF7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20</xdr:col>
      <xdr:colOff>38100</xdr:colOff>
      <xdr:row>3</xdr:row>
      <xdr:rowOff>47625</xdr:rowOff>
    </xdr:from>
    <xdr:to>
      <xdr:col>24</xdr:col>
      <xdr:colOff>123825</xdr:colOff>
      <xdr:row>12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5A8575-ED14-B091-FEE0-8B57B9FC3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619125"/>
          <a:ext cx="25241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466725</xdr:colOff>
      <xdr:row>0</xdr:row>
      <xdr:rowOff>161925</xdr:rowOff>
    </xdr:from>
    <xdr:to>
      <xdr:col>24</xdr:col>
      <xdr:colOff>552450</xdr:colOff>
      <xdr:row>10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A18149-1B62-543B-E298-EEE482CFD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97150" y="161925"/>
          <a:ext cx="25241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57150</xdr:colOff>
      <xdr:row>1</xdr:row>
      <xdr:rowOff>28575</xdr:rowOff>
    </xdr:from>
    <xdr:to>
      <xdr:col>25</xdr:col>
      <xdr:colOff>142875</xdr:colOff>
      <xdr:row>10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76DD17-EE73-C058-CB0E-E760A5D10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219075"/>
          <a:ext cx="25241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R66"/>
  <sheetViews>
    <sheetView showGridLines="0" tabSelected="1" topLeftCell="A16" workbookViewId="0">
      <selection activeCell="D30" sqref="D30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7"/>
      <c r="C3" s="147"/>
      <c r="D3" s="147"/>
      <c r="E3" s="147"/>
    </row>
    <row r="4" spans="2:5">
      <c r="B4" s="148" t="s">
        <v>111</v>
      </c>
      <c r="C4" s="148" t="s">
        <v>57</v>
      </c>
      <c r="D4" s="148" t="s">
        <v>10</v>
      </c>
      <c r="E4" s="148" t="s">
        <v>8</v>
      </c>
    </row>
    <row r="5" spans="2:5">
      <c r="B5" s="66" t="s">
        <v>130</v>
      </c>
      <c r="C5" s="149">
        <v>0.05</v>
      </c>
      <c r="D5" s="149">
        <v>0.95</v>
      </c>
      <c r="E5" s="149">
        <f>C5+D5</f>
        <v>1</v>
      </c>
    </row>
    <row r="6" spans="2:5">
      <c r="B6" s="66" t="s">
        <v>131</v>
      </c>
      <c r="C6" s="149">
        <v>0.05</v>
      </c>
      <c r="D6" s="149">
        <v>0.95</v>
      </c>
      <c r="E6" s="149">
        <f t="shared" ref="E6:E12" si="0">C6+D6</f>
        <v>1</v>
      </c>
    </row>
    <row r="7" spans="2:5">
      <c r="B7" s="66" t="s">
        <v>103</v>
      </c>
      <c r="C7" s="149">
        <v>0.05</v>
      </c>
      <c r="D7" s="149">
        <v>0.95</v>
      </c>
      <c r="E7" s="149">
        <f t="shared" si="0"/>
        <v>1</v>
      </c>
    </row>
    <row r="8" spans="2:5">
      <c r="B8" s="66" t="s">
        <v>104</v>
      </c>
      <c r="C8" s="149">
        <v>0.05</v>
      </c>
      <c r="D8" s="149">
        <v>0.95</v>
      </c>
      <c r="E8" s="149">
        <f t="shared" si="0"/>
        <v>1</v>
      </c>
    </row>
    <row r="9" spans="2:5">
      <c r="B9" s="66" t="s">
        <v>105</v>
      </c>
      <c r="C9" s="149">
        <v>0.05</v>
      </c>
      <c r="D9" s="149">
        <v>0.95</v>
      </c>
      <c r="E9" s="149">
        <f t="shared" si="0"/>
        <v>1</v>
      </c>
    </row>
    <row r="10" spans="2:5">
      <c r="B10" s="66" t="s">
        <v>106</v>
      </c>
      <c r="C10" s="149">
        <v>0.05</v>
      </c>
      <c r="D10" s="149">
        <v>0.95</v>
      </c>
      <c r="E10" s="149">
        <f t="shared" si="0"/>
        <v>1</v>
      </c>
    </row>
    <row r="11" spans="2:5">
      <c r="B11" s="66" t="s">
        <v>107</v>
      </c>
      <c r="C11" s="149">
        <v>0.05</v>
      </c>
      <c r="D11" s="149">
        <v>0.95</v>
      </c>
      <c r="E11" s="149">
        <f t="shared" si="0"/>
        <v>1</v>
      </c>
    </row>
    <row r="12" spans="2:5">
      <c r="B12" s="66" t="s">
        <v>108</v>
      </c>
      <c r="C12" s="149">
        <v>0.05</v>
      </c>
      <c r="D12" s="149">
        <v>0.95</v>
      </c>
      <c r="E12" s="149">
        <f t="shared" si="0"/>
        <v>1</v>
      </c>
    </row>
    <row r="13" spans="2:5">
      <c r="B13" s="66" t="s">
        <v>109</v>
      </c>
      <c r="C13" s="149">
        <v>0.05</v>
      </c>
      <c r="D13" s="149">
        <v>0.95</v>
      </c>
      <c r="E13" s="149">
        <f t="shared" ref="E13:E14" si="1">C13+D13</f>
        <v>1</v>
      </c>
    </row>
    <row r="14" spans="2:5">
      <c r="B14" s="66" t="s">
        <v>110</v>
      </c>
      <c r="C14" s="149">
        <v>0.05</v>
      </c>
      <c r="D14" s="149">
        <v>0.95</v>
      </c>
      <c r="E14" s="149">
        <f t="shared" si="1"/>
        <v>1</v>
      </c>
    </row>
    <row r="16" spans="2:5">
      <c r="B16" s="147"/>
      <c r="C16" s="147"/>
      <c r="D16" s="147"/>
      <c r="E16" s="147"/>
    </row>
    <row r="17" spans="2:14">
      <c r="B17" s="148" t="s">
        <v>112</v>
      </c>
      <c r="C17" s="148">
        <v>1</v>
      </c>
      <c r="D17" s="148">
        <v>2</v>
      </c>
      <c r="E17" s="148">
        <v>3</v>
      </c>
    </row>
    <row r="18" spans="2:14">
      <c r="B18" s="70" t="s">
        <v>119</v>
      </c>
      <c r="C18" s="94">
        <v>12500</v>
      </c>
      <c r="D18" s="94">
        <f>C18*1.03</f>
        <v>12875</v>
      </c>
      <c r="E18" s="94">
        <f>D18*1.03</f>
        <v>13261.25</v>
      </c>
    </row>
    <row r="19" spans="2:14">
      <c r="B19" s="70" t="s">
        <v>50</v>
      </c>
      <c r="C19" s="94">
        <f>'Profit and Loss Statement'!E6*0.0157</f>
        <v>8929.8773999999994</v>
      </c>
      <c r="D19" s="94">
        <f>'Profit and Loss Statement'!F6*0.0157</f>
        <v>10715.85288</v>
      </c>
      <c r="E19" s="94">
        <f>'Profit and Loss Statement'!G6*0.0157</f>
        <v>12323.230811999998</v>
      </c>
    </row>
    <row r="20" spans="2:14">
      <c r="B20" s="70" t="s">
        <v>123</v>
      </c>
      <c r="C20" s="94">
        <f>'Profit and Loss Statement'!E6*0.0152</f>
        <v>8645.4863999999998</v>
      </c>
      <c r="D20" s="94">
        <f>'Profit and Loss Statement'!F6*0.0152</f>
        <v>10374.58368</v>
      </c>
      <c r="E20" s="94">
        <f>'Profit and Loss Statement'!G6*0.0152</f>
        <v>11930.771231999999</v>
      </c>
    </row>
    <row r="21" spans="2:14">
      <c r="B21" s="70" t="s">
        <v>49</v>
      </c>
      <c r="C21" s="94">
        <f>'Personnel - Editable'!H16*0.06</f>
        <v>17550</v>
      </c>
      <c r="D21" s="94">
        <f>'Personnel - Editable'!I16*0.06</f>
        <v>18076.5</v>
      </c>
      <c r="E21" s="94">
        <f>'Personnel - Editable'!J16*0.06</f>
        <v>18618.794999999998</v>
      </c>
      <c r="F21" s="122"/>
      <c r="G21" s="122"/>
    </row>
    <row r="22" spans="2:14">
      <c r="B22" s="70" t="s">
        <v>120</v>
      </c>
      <c r="C22" s="94">
        <f>'Profit and Loss Statement'!E6*0.012</f>
        <v>6825.384</v>
      </c>
      <c r="D22" s="94">
        <f>'Profit and Loss Statement'!F6*0.012</f>
        <v>8190.4608000000007</v>
      </c>
      <c r="E22" s="94">
        <f>'Profit and Loss Statement'!G6*0.012</f>
        <v>9419.029919999999</v>
      </c>
      <c r="F22" s="1"/>
      <c r="G22" s="1"/>
    </row>
    <row r="23" spans="2:14">
      <c r="B23" s="70" t="s">
        <v>1</v>
      </c>
      <c r="C23" s="94">
        <v>5000</v>
      </c>
      <c r="D23" s="94">
        <f>C23*1.35</f>
        <v>6750</v>
      </c>
      <c r="E23" s="94">
        <f>D23*1.35</f>
        <v>9112.5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50" t="s">
        <v>113</v>
      </c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</row>
    <row r="31" spans="2:14">
      <c r="B31" s="152" t="s">
        <v>5</v>
      </c>
      <c r="C31" s="153">
        <v>1</v>
      </c>
      <c r="D31" s="153">
        <f>C31+1</f>
        <v>2</v>
      </c>
      <c r="E31" s="153">
        <f t="shared" ref="E31:N31" si="2">D31+1</f>
        <v>3</v>
      </c>
      <c r="F31" s="153">
        <f t="shared" si="2"/>
        <v>4</v>
      </c>
      <c r="G31" s="153">
        <f t="shared" si="2"/>
        <v>5</v>
      </c>
      <c r="H31" s="153">
        <f t="shared" si="2"/>
        <v>6</v>
      </c>
      <c r="I31" s="153">
        <f t="shared" si="2"/>
        <v>7</v>
      </c>
      <c r="J31" s="153">
        <f t="shared" si="2"/>
        <v>8</v>
      </c>
      <c r="K31" s="153">
        <f t="shared" si="2"/>
        <v>9</v>
      </c>
      <c r="L31" s="153">
        <f t="shared" si="2"/>
        <v>10</v>
      </c>
      <c r="M31" s="153">
        <f t="shared" si="2"/>
        <v>11</v>
      </c>
      <c r="N31" s="153">
        <f t="shared" si="2"/>
        <v>12</v>
      </c>
    </row>
    <row r="32" spans="2:14">
      <c r="B32" s="66" t="str">
        <f t="shared" ref="B32:B41" si="3">B5</f>
        <v>Home Healthcare Services</v>
      </c>
      <c r="C32" s="94">
        <v>35000</v>
      </c>
      <c r="D32" s="94">
        <f>C32+20</f>
        <v>35020</v>
      </c>
      <c r="E32" s="94">
        <f t="shared" ref="E32:N32" si="4">D32+20</f>
        <v>35040</v>
      </c>
      <c r="F32" s="94">
        <f t="shared" si="4"/>
        <v>35060</v>
      </c>
      <c r="G32" s="94">
        <f t="shared" si="4"/>
        <v>35080</v>
      </c>
      <c r="H32" s="94">
        <f t="shared" si="4"/>
        <v>35100</v>
      </c>
      <c r="I32" s="94">
        <f t="shared" si="4"/>
        <v>35120</v>
      </c>
      <c r="J32" s="94">
        <f t="shared" si="4"/>
        <v>35140</v>
      </c>
      <c r="K32" s="94">
        <f t="shared" si="4"/>
        <v>35160</v>
      </c>
      <c r="L32" s="94">
        <f t="shared" si="4"/>
        <v>35180</v>
      </c>
      <c r="M32" s="94">
        <f t="shared" si="4"/>
        <v>35200</v>
      </c>
      <c r="N32" s="94">
        <f t="shared" si="4"/>
        <v>35220</v>
      </c>
    </row>
    <row r="33" spans="2:18">
      <c r="B33" s="66" t="str">
        <f t="shared" si="3"/>
        <v>Support and Ancillary Fees</v>
      </c>
      <c r="C33" s="94">
        <f>C32*0.35</f>
        <v>12250</v>
      </c>
      <c r="D33" s="94">
        <f t="shared" ref="D33:N33" si="5">D32*0.35</f>
        <v>12257</v>
      </c>
      <c r="E33" s="94">
        <f t="shared" si="5"/>
        <v>12264</v>
      </c>
      <c r="F33" s="94">
        <f t="shared" si="5"/>
        <v>12271</v>
      </c>
      <c r="G33" s="94">
        <f t="shared" si="5"/>
        <v>12278</v>
      </c>
      <c r="H33" s="94">
        <f t="shared" si="5"/>
        <v>12285</v>
      </c>
      <c r="I33" s="94">
        <f t="shared" si="5"/>
        <v>12292</v>
      </c>
      <c r="J33" s="94">
        <f t="shared" si="5"/>
        <v>12299</v>
      </c>
      <c r="K33" s="94">
        <f t="shared" si="5"/>
        <v>12306</v>
      </c>
      <c r="L33" s="94">
        <f t="shared" si="5"/>
        <v>12313</v>
      </c>
      <c r="M33" s="94">
        <f t="shared" si="5"/>
        <v>12320</v>
      </c>
      <c r="N33" s="94">
        <f t="shared" si="5"/>
        <v>12327</v>
      </c>
    </row>
    <row r="34" spans="2:18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8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R35" s="114" t="s">
        <v>132</v>
      </c>
    </row>
    <row r="36" spans="2:18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8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8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8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8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8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18">
      <c r="B42" s="107" t="s">
        <v>8</v>
      </c>
      <c r="C42" s="108">
        <f>SUM(C32:C41)</f>
        <v>47250</v>
      </c>
      <c r="D42" s="108">
        <f t="shared" ref="D42:N42" si="6">SUM(D32:D41)</f>
        <v>47277</v>
      </c>
      <c r="E42" s="108">
        <f t="shared" si="6"/>
        <v>47304</v>
      </c>
      <c r="F42" s="108">
        <f t="shared" si="6"/>
        <v>47331</v>
      </c>
      <c r="G42" s="108">
        <f t="shared" si="6"/>
        <v>47358</v>
      </c>
      <c r="H42" s="108">
        <f t="shared" si="6"/>
        <v>47385</v>
      </c>
      <c r="I42" s="108">
        <f t="shared" si="6"/>
        <v>47412</v>
      </c>
      <c r="J42" s="108">
        <f t="shared" si="6"/>
        <v>47439</v>
      </c>
      <c r="K42" s="108">
        <f t="shared" si="6"/>
        <v>47466</v>
      </c>
      <c r="L42" s="108">
        <f t="shared" si="6"/>
        <v>47493</v>
      </c>
      <c r="M42" s="108">
        <f t="shared" si="6"/>
        <v>47520</v>
      </c>
      <c r="N42" s="108">
        <f t="shared" si="6"/>
        <v>47547</v>
      </c>
    </row>
    <row r="44" spans="2:18">
      <c r="B44" s="147"/>
      <c r="C44" s="147"/>
    </row>
    <row r="45" spans="2:18">
      <c r="B45" s="148" t="s">
        <v>127</v>
      </c>
      <c r="C45" s="148"/>
    </row>
    <row r="46" spans="2:18">
      <c r="B46" s="66" t="s">
        <v>3</v>
      </c>
      <c r="C46" s="146">
        <v>0.2</v>
      </c>
    </row>
    <row r="47" spans="2:18">
      <c r="B47" s="66" t="s">
        <v>4</v>
      </c>
      <c r="C47" s="146">
        <v>0.15</v>
      </c>
    </row>
    <row r="49" spans="2:14">
      <c r="B49" s="114" t="s">
        <v>57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</row>
    <row r="50" spans="2:14">
      <c r="B50" s="114" t="s">
        <v>5</v>
      </c>
      <c r="C50" s="114">
        <v>1</v>
      </c>
      <c r="D50" s="114">
        <f>C50+1</f>
        <v>2</v>
      </c>
      <c r="E50" s="114">
        <f t="shared" ref="E50:N50" si="7">D50+1</f>
        <v>3</v>
      </c>
      <c r="F50" s="114">
        <f t="shared" si="7"/>
        <v>4</v>
      </c>
      <c r="G50" s="114">
        <f t="shared" si="7"/>
        <v>5</v>
      </c>
      <c r="H50" s="114">
        <f t="shared" si="7"/>
        <v>6</v>
      </c>
      <c r="I50" s="114">
        <f t="shared" si="7"/>
        <v>7</v>
      </c>
      <c r="J50" s="114">
        <f t="shared" si="7"/>
        <v>8</v>
      </c>
      <c r="K50" s="114">
        <f t="shared" si="7"/>
        <v>9</v>
      </c>
      <c r="L50" s="114">
        <f t="shared" si="7"/>
        <v>10</v>
      </c>
      <c r="M50" s="114">
        <f t="shared" si="7"/>
        <v>11</v>
      </c>
      <c r="N50" s="114">
        <f t="shared" si="7"/>
        <v>12</v>
      </c>
    </row>
    <row r="51" spans="2:14">
      <c r="B51" s="114" t="str">
        <f t="shared" ref="B51:B60" si="8">B32</f>
        <v>Home Healthcare Services</v>
      </c>
      <c r="C51" s="116">
        <f t="shared" ref="C51:N51" si="9">C32*($C$5/$E$5)</f>
        <v>1750</v>
      </c>
      <c r="D51" s="116">
        <f t="shared" si="9"/>
        <v>1751</v>
      </c>
      <c r="E51" s="116">
        <f t="shared" si="9"/>
        <v>1752</v>
      </c>
      <c r="F51" s="116">
        <f t="shared" si="9"/>
        <v>1753</v>
      </c>
      <c r="G51" s="116">
        <f t="shared" si="9"/>
        <v>1754</v>
      </c>
      <c r="H51" s="116">
        <f t="shared" si="9"/>
        <v>1755</v>
      </c>
      <c r="I51" s="116">
        <f t="shared" si="9"/>
        <v>1756</v>
      </c>
      <c r="J51" s="116">
        <f t="shared" si="9"/>
        <v>1757</v>
      </c>
      <c r="K51" s="116">
        <f t="shared" si="9"/>
        <v>1758</v>
      </c>
      <c r="L51" s="116">
        <f t="shared" si="9"/>
        <v>1759</v>
      </c>
      <c r="M51" s="116">
        <f t="shared" si="9"/>
        <v>1760</v>
      </c>
      <c r="N51" s="116">
        <f t="shared" si="9"/>
        <v>1761</v>
      </c>
    </row>
    <row r="52" spans="2:14">
      <c r="B52" s="114" t="str">
        <f t="shared" si="8"/>
        <v>Support and Ancillary Fees</v>
      </c>
      <c r="C52" s="116">
        <f t="shared" ref="C52:N52" si="10">C33*($C$6/$E$6)</f>
        <v>612.5</v>
      </c>
      <c r="D52" s="116">
        <f t="shared" si="10"/>
        <v>612.85</v>
      </c>
      <c r="E52" s="116">
        <f t="shared" si="10"/>
        <v>613.20000000000005</v>
      </c>
      <c r="F52" s="116">
        <f t="shared" si="10"/>
        <v>613.55000000000007</v>
      </c>
      <c r="G52" s="116">
        <f t="shared" si="10"/>
        <v>613.90000000000009</v>
      </c>
      <c r="H52" s="116">
        <f t="shared" si="10"/>
        <v>614.25</v>
      </c>
      <c r="I52" s="116">
        <f t="shared" si="10"/>
        <v>614.6</v>
      </c>
      <c r="J52" s="116">
        <f t="shared" si="10"/>
        <v>614.95000000000005</v>
      </c>
      <c r="K52" s="116">
        <f t="shared" si="10"/>
        <v>615.30000000000007</v>
      </c>
      <c r="L52" s="116">
        <f t="shared" si="10"/>
        <v>615.65000000000009</v>
      </c>
      <c r="M52" s="116">
        <f t="shared" si="10"/>
        <v>616</v>
      </c>
      <c r="N52" s="116">
        <f t="shared" si="10"/>
        <v>616.35</v>
      </c>
    </row>
    <row r="53" spans="2:14">
      <c r="B53" s="114" t="str">
        <f t="shared" si="8"/>
        <v>Item 3</v>
      </c>
      <c r="C53" s="116">
        <f t="shared" ref="C53:N53" si="11">C34*($C$7/$E$7)</f>
        <v>0</v>
      </c>
      <c r="D53" s="116">
        <f t="shared" si="11"/>
        <v>0</v>
      </c>
      <c r="E53" s="116">
        <f t="shared" si="11"/>
        <v>0</v>
      </c>
      <c r="F53" s="116">
        <f t="shared" si="11"/>
        <v>0</v>
      </c>
      <c r="G53" s="116">
        <f t="shared" si="11"/>
        <v>0</v>
      </c>
      <c r="H53" s="116">
        <f t="shared" si="11"/>
        <v>0</v>
      </c>
      <c r="I53" s="116">
        <f t="shared" si="11"/>
        <v>0</v>
      </c>
      <c r="J53" s="116">
        <f t="shared" si="11"/>
        <v>0</v>
      </c>
      <c r="K53" s="116">
        <f t="shared" si="11"/>
        <v>0</v>
      </c>
      <c r="L53" s="116">
        <f t="shared" si="11"/>
        <v>0</v>
      </c>
      <c r="M53" s="116">
        <f t="shared" si="11"/>
        <v>0</v>
      </c>
      <c r="N53" s="116">
        <f t="shared" si="11"/>
        <v>0</v>
      </c>
    </row>
    <row r="54" spans="2:14">
      <c r="B54" s="114" t="str">
        <f t="shared" si="8"/>
        <v>Item 4</v>
      </c>
      <c r="C54" s="116">
        <f t="shared" ref="C54:N54" si="12">C35*($C$8/$E$8)</f>
        <v>0</v>
      </c>
      <c r="D54" s="116">
        <f t="shared" si="12"/>
        <v>0</v>
      </c>
      <c r="E54" s="116">
        <f t="shared" si="12"/>
        <v>0</v>
      </c>
      <c r="F54" s="116">
        <f t="shared" si="12"/>
        <v>0</v>
      </c>
      <c r="G54" s="116">
        <f t="shared" si="12"/>
        <v>0</v>
      </c>
      <c r="H54" s="116">
        <f t="shared" si="12"/>
        <v>0</v>
      </c>
      <c r="I54" s="116">
        <f t="shared" si="12"/>
        <v>0</v>
      </c>
      <c r="J54" s="116">
        <f t="shared" si="12"/>
        <v>0</v>
      </c>
      <c r="K54" s="116">
        <f t="shared" si="12"/>
        <v>0</v>
      </c>
      <c r="L54" s="116">
        <f t="shared" si="12"/>
        <v>0</v>
      </c>
      <c r="M54" s="116">
        <f t="shared" si="12"/>
        <v>0</v>
      </c>
      <c r="N54" s="116">
        <f t="shared" si="12"/>
        <v>0</v>
      </c>
    </row>
    <row r="55" spans="2:14">
      <c r="B55" s="114" t="str">
        <f t="shared" si="8"/>
        <v>Item 5</v>
      </c>
      <c r="C55" s="116">
        <f t="shared" ref="C55:N55" si="13">C36*($C$9/$E$9)</f>
        <v>0</v>
      </c>
      <c r="D55" s="116">
        <f t="shared" si="13"/>
        <v>0</v>
      </c>
      <c r="E55" s="116">
        <f t="shared" si="13"/>
        <v>0</v>
      </c>
      <c r="F55" s="116">
        <f t="shared" si="13"/>
        <v>0</v>
      </c>
      <c r="G55" s="116">
        <f t="shared" si="13"/>
        <v>0</v>
      </c>
      <c r="H55" s="116">
        <f t="shared" si="13"/>
        <v>0</v>
      </c>
      <c r="I55" s="116">
        <f t="shared" si="13"/>
        <v>0</v>
      </c>
      <c r="J55" s="116">
        <f t="shared" si="13"/>
        <v>0</v>
      </c>
      <c r="K55" s="116">
        <f t="shared" si="13"/>
        <v>0</v>
      </c>
      <c r="L55" s="116">
        <f t="shared" si="13"/>
        <v>0</v>
      </c>
      <c r="M55" s="116">
        <f t="shared" si="13"/>
        <v>0</v>
      </c>
      <c r="N55" s="116">
        <f t="shared" si="13"/>
        <v>0</v>
      </c>
    </row>
    <row r="56" spans="2:14">
      <c r="B56" s="114" t="str">
        <f t="shared" si="8"/>
        <v>Item 6</v>
      </c>
      <c r="C56" s="116">
        <f t="shared" ref="C56:N56" si="14">C37*($C$10/$E$10)</f>
        <v>0</v>
      </c>
      <c r="D56" s="116">
        <f t="shared" si="14"/>
        <v>0</v>
      </c>
      <c r="E56" s="116">
        <f t="shared" si="14"/>
        <v>0</v>
      </c>
      <c r="F56" s="116">
        <f t="shared" si="14"/>
        <v>0</v>
      </c>
      <c r="G56" s="116">
        <f t="shared" si="14"/>
        <v>0</v>
      </c>
      <c r="H56" s="116">
        <f t="shared" si="14"/>
        <v>0</v>
      </c>
      <c r="I56" s="116">
        <f t="shared" si="14"/>
        <v>0</v>
      </c>
      <c r="J56" s="116">
        <f t="shared" si="14"/>
        <v>0</v>
      </c>
      <c r="K56" s="116">
        <f t="shared" si="14"/>
        <v>0</v>
      </c>
      <c r="L56" s="116">
        <f t="shared" si="14"/>
        <v>0</v>
      </c>
      <c r="M56" s="116">
        <f t="shared" si="14"/>
        <v>0</v>
      </c>
      <c r="N56" s="116">
        <f t="shared" si="14"/>
        <v>0</v>
      </c>
    </row>
    <row r="57" spans="2:14">
      <c r="B57" s="114" t="str">
        <f t="shared" si="8"/>
        <v>Item 7</v>
      </c>
      <c r="C57" s="116">
        <f t="shared" ref="C57:N57" si="15">C38*($C$11/$E$11)</f>
        <v>0</v>
      </c>
      <c r="D57" s="116">
        <f t="shared" si="15"/>
        <v>0</v>
      </c>
      <c r="E57" s="116">
        <f t="shared" si="15"/>
        <v>0</v>
      </c>
      <c r="F57" s="116">
        <f t="shared" si="15"/>
        <v>0</v>
      </c>
      <c r="G57" s="116">
        <f t="shared" si="15"/>
        <v>0</v>
      </c>
      <c r="H57" s="116">
        <f t="shared" si="15"/>
        <v>0</v>
      </c>
      <c r="I57" s="116">
        <f t="shared" si="15"/>
        <v>0</v>
      </c>
      <c r="J57" s="116">
        <f t="shared" si="15"/>
        <v>0</v>
      </c>
      <c r="K57" s="116">
        <f t="shared" si="15"/>
        <v>0</v>
      </c>
      <c r="L57" s="116">
        <f t="shared" si="15"/>
        <v>0</v>
      </c>
      <c r="M57" s="116">
        <f t="shared" si="15"/>
        <v>0</v>
      </c>
      <c r="N57" s="116">
        <f t="shared" si="15"/>
        <v>0</v>
      </c>
    </row>
    <row r="58" spans="2:14">
      <c r="B58" s="114" t="str">
        <f t="shared" si="8"/>
        <v>Item 8</v>
      </c>
      <c r="C58" s="116">
        <f t="shared" ref="C58:N58" si="16">C39*($C$12/$E$12)</f>
        <v>0</v>
      </c>
      <c r="D58" s="116">
        <f t="shared" si="16"/>
        <v>0</v>
      </c>
      <c r="E58" s="116">
        <f t="shared" si="16"/>
        <v>0</v>
      </c>
      <c r="F58" s="116">
        <f t="shared" si="16"/>
        <v>0</v>
      </c>
      <c r="G58" s="116">
        <f t="shared" si="16"/>
        <v>0</v>
      </c>
      <c r="H58" s="116">
        <f t="shared" si="16"/>
        <v>0</v>
      </c>
      <c r="I58" s="116">
        <f t="shared" si="16"/>
        <v>0</v>
      </c>
      <c r="J58" s="116">
        <f t="shared" si="16"/>
        <v>0</v>
      </c>
      <c r="K58" s="116">
        <f t="shared" si="16"/>
        <v>0</v>
      </c>
      <c r="L58" s="116">
        <f t="shared" si="16"/>
        <v>0</v>
      </c>
      <c r="M58" s="116">
        <f t="shared" si="16"/>
        <v>0</v>
      </c>
      <c r="N58" s="116">
        <f t="shared" si="16"/>
        <v>0</v>
      </c>
    </row>
    <row r="59" spans="2:14">
      <c r="B59" s="114" t="str">
        <f t="shared" si="8"/>
        <v>Item 9</v>
      </c>
      <c r="C59" s="116">
        <f t="shared" ref="C59:N59" si="17">C40*($C$13/$E$13)</f>
        <v>0</v>
      </c>
      <c r="D59" s="116">
        <f t="shared" si="17"/>
        <v>0</v>
      </c>
      <c r="E59" s="116">
        <f t="shared" si="17"/>
        <v>0</v>
      </c>
      <c r="F59" s="116">
        <f t="shared" si="17"/>
        <v>0</v>
      </c>
      <c r="G59" s="116">
        <f t="shared" si="17"/>
        <v>0</v>
      </c>
      <c r="H59" s="116">
        <f t="shared" si="17"/>
        <v>0</v>
      </c>
      <c r="I59" s="116">
        <f t="shared" si="17"/>
        <v>0</v>
      </c>
      <c r="J59" s="116">
        <f t="shared" si="17"/>
        <v>0</v>
      </c>
      <c r="K59" s="116">
        <f t="shared" si="17"/>
        <v>0</v>
      </c>
      <c r="L59" s="116">
        <f t="shared" si="17"/>
        <v>0</v>
      </c>
      <c r="M59" s="116">
        <f t="shared" si="17"/>
        <v>0</v>
      </c>
      <c r="N59" s="116">
        <f t="shared" si="17"/>
        <v>0</v>
      </c>
    </row>
    <row r="60" spans="2:14">
      <c r="B60" s="114" t="str">
        <f t="shared" si="8"/>
        <v>Item 10</v>
      </c>
      <c r="C60" s="116">
        <f t="shared" ref="C60:N60" si="18">C41*($C$14/$E$14)</f>
        <v>0</v>
      </c>
      <c r="D60" s="116">
        <f t="shared" si="18"/>
        <v>0</v>
      </c>
      <c r="E60" s="116">
        <f t="shared" si="18"/>
        <v>0</v>
      </c>
      <c r="F60" s="116">
        <f t="shared" si="18"/>
        <v>0</v>
      </c>
      <c r="G60" s="116">
        <f t="shared" si="18"/>
        <v>0</v>
      </c>
      <c r="H60" s="116">
        <f t="shared" si="18"/>
        <v>0</v>
      </c>
      <c r="I60" s="116">
        <f t="shared" si="18"/>
        <v>0</v>
      </c>
      <c r="J60" s="116">
        <f t="shared" si="18"/>
        <v>0</v>
      </c>
      <c r="K60" s="116">
        <f t="shared" si="18"/>
        <v>0</v>
      </c>
      <c r="L60" s="116">
        <f t="shared" si="18"/>
        <v>0</v>
      </c>
      <c r="M60" s="116">
        <f t="shared" si="18"/>
        <v>0</v>
      </c>
      <c r="N60" s="116">
        <f t="shared" si="18"/>
        <v>0</v>
      </c>
    </row>
    <row r="61" spans="2:14">
      <c r="B61" s="114" t="s">
        <v>8</v>
      </c>
      <c r="C61" s="116">
        <f>SUM(C51:C60)</f>
        <v>2362.5</v>
      </c>
      <c r="D61" s="116">
        <f t="shared" ref="D61:N61" si="19">SUM(D51:D60)</f>
        <v>2363.85</v>
      </c>
      <c r="E61" s="116">
        <f t="shared" si="19"/>
        <v>2365.1999999999998</v>
      </c>
      <c r="F61" s="116">
        <f t="shared" si="19"/>
        <v>2366.5500000000002</v>
      </c>
      <c r="G61" s="116">
        <f t="shared" si="19"/>
        <v>2367.9</v>
      </c>
      <c r="H61" s="116">
        <f t="shared" si="19"/>
        <v>2369.25</v>
      </c>
      <c r="I61" s="116">
        <f t="shared" si="19"/>
        <v>2370.6</v>
      </c>
      <c r="J61" s="116">
        <f t="shared" si="19"/>
        <v>2371.9499999999998</v>
      </c>
      <c r="K61" s="116">
        <f t="shared" si="19"/>
        <v>2373.3000000000002</v>
      </c>
      <c r="L61" s="116">
        <f t="shared" si="19"/>
        <v>2374.65</v>
      </c>
      <c r="M61" s="116">
        <f t="shared" si="19"/>
        <v>2376</v>
      </c>
      <c r="N61" s="116">
        <f t="shared" si="19"/>
        <v>2377.35</v>
      </c>
    </row>
    <row r="62" spans="2:14"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</row>
    <row r="63" spans="2:14"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</row>
    <row r="64" spans="2:14">
      <c r="B64" s="114" t="s">
        <v>10</v>
      </c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</row>
    <row r="65" spans="2:14">
      <c r="B65" s="114" t="s">
        <v>5</v>
      </c>
      <c r="C65" s="114">
        <v>1</v>
      </c>
      <c r="D65" s="114">
        <f>C65+1</f>
        <v>2</v>
      </c>
      <c r="E65" s="114">
        <f t="shared" ref="E65:N65" si="20">D65+1</f>
        <v>3</v>
      </c>
      <c r="F65" s="114">
        <f t="shared" si="20"/>
        <v>4</v>
      </c>
      <c r="G65" s="114">
        <f t="shared" si="20"/>
        <v>5</v>
      </c>
      <c r="H65" s="114">
        <f t="shared" si="20"/>
        <v>6</v>
      </c>
      <c r="I65" s="114">
        <f t="shared" si="20"/>
        <v>7</v>
      </c>
      <c r="J65" s="114">
        <f t="shared" si="20"/>
        <v>8</v>
      </c>
      <c r="K65" s="114">
        <f t="shared" si="20"/>
        <v>9</v>
      </c>
      <c r="L65" s="114">
        <f t="shared" si="20"/>
        <v>10</v>
      </c>
      <c r="M65" s="114">
        <f t="shared" si="20"/>
        <v>11</v>
      </c>
      <c r="N65" s="114">
        <f t="shared" si="20"/>
        <v>12</v>
      </c>
    </row>
    <row r="66" spans="2:14">
      <c r="B66" s="114" t="s">
        <v>8</v>
      </c>
      <c r="C66" s="116">
        <f t="shared" ref="C66:N66" si="21">C42-C61</f>
        <v>44887.5</v>
      </c>
      <c r="D66" s="116">
        <f t="shared" si="21"/>
        <v>44913.15</v>
      </c>
      <c r="E66" s="116">
        <f t="shared" si="21"/>
        <v>44938.8</v>
      </c>
      <c r="F66" s="116">
        <f t="shared" si="21"/>
        <v>44964.45</v>
      </c>
      <c r="G66" s="116">
        <f t="shared" si="21"/>
        <v>44990.1</v>
      </c>
      <c r="H66" s="116">
        <f t="shared" si="21"/>
        <v>45015.75</v>
      </c>
      <c r="I66" s="116">
        <f t="shared" si="21"/>
        <v>45041.4</v>
      </c>
      <c r="J66" s="116">
        <f t="shared" si="21"/>
        <v>45067.05</v>
      </c>
      <c r="K66" s="116">
        <f t="shared" si="21"/>
        <v>45092.7</v>
      </c>
      <c r="L66" s="116">
        <f t="shared" si="21"/>
        <v>45118.35</v>
      </c>
      <c r="M66" s="116">
        <f t="shared" si="21"/>
        <v>45144</v>
      </c>
      <c r="N66" s="116">
        <f t="shared" si="21"/>
        <v>45169.65</v>
      </c>
    </row>
  </sheetData>
  <sheetProtection algorithmName="SHA-512" hashValue="zY544ETnR3J3YgeTnM2/H154v3mOOpTj/mcucfDwIk2YqIV+G+GyRUHZ+YKGgcWkFUDE7I9xODS5W9mXfjs27Q==" saltValue="g3287lFWnlOYnVI3aN/kGQ==" spinCount="100000" sheet="1" objects="1" scenarios="1" selectLockedCell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O14" sqref="O14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125000</v>
      </c>
      <c r="C5" s="55"/>
      <c r="D5" s="56" t="s">
        <v>36</v>
      </c>
      <c r="E5" s="59">
        <f>PMT(B6/B8,(B7*B8),-B5)</f>
        <v>1451.3559902328007</v>
      </c>
    </row>
    <row r="6" spans="1:5">
      <c r="A6" s="60" t="s">
        <v>39</v>
      </c>
      <c r="B6" s="54">
        <v>7.0000000000000007E-2</v>
      </c>
      <c r="C6" s="55"/>
      <c r="D6" s="56" t="s">
        <v>38</v>
      </c>
      <c r="E6" s="59">
        <f>SUM(D14:D600)</f>
        <v>49162.718827936085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1451.3559902328007</v>
      </c>
      <c r="C14" s="1">
        <f>B14-D14</f>
        <v>722.18932356613391</v>
      </c>
      <c r="D14" s="1">
        <f>(B5*($B$6/$B$8))</f>
        <v>729.16666666666674</v>
      </c>
      <c r="E14" s="1">
        <f>B5-C14</f>
        <v>124277.81067643386</v>
      </c>
    </row>
    <row r="15" spans="1:5">
      <c r="A15">
        <f>IF(($B$7*$B$8&gt;A14),IF(($B$7*$B$8)=A14,"",A14+1),"")</f>
        <v>2</v>
      </c>
      <c r="B15" s="1">
        <f>IF(A15="","",$B$14)</f>
        <v>1451.3559902328007</v>
      </c>
      <c r="C15" s="1">
        <f>IF(A15="","",B15-D15)</f>
        <v>726.40209462026974</v>
      </c>
      <c r="D15" s="1">
        <f>IF(A15="","",(E14*($B$6/$B$8)))</f>
        <v>724.95389561253091</v>
      </c>
      <c r="E15" s="1">
        <f>IF(A15="","",E14-C15)</f>
        <v>123551.40858181359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1451.3559902328007</v>
      </c>
      <c r="C16" s="1">
        <f t="shared" ref="C16:C79" si="2">IF(A16="","",B16-D16)</f>
        <v>730.63944017222127</v>
      </c>
      <c r="D16" s="1">
        <f t="shared" ref="D16:D79" si="3">IF(A16="","",(E15*($B$6/$B$8)))</f>
        <v>720.71655006057938</v>
      </c>
      <c r="E16" s="1">
        <f t="shared" ref="E16:E79" si="4">IF(A16="","",E15-C16)</f>
        <v>122820.76914164137</v>
      </c>
    </row>
    <row r="17" spans="1:5">
      <c r="A17">
        <f t="shared" si="0"/>
        <v>4</v>
      </c>
      <c r="B17" s="1">
        <f t="shared" si="1"/>
        <v>1451.3559902328007</v>
      </c>
      <c r="C17" s="1">
        <f t="shared" si="2"/>
        <v>734.90150357322591</v>
      </c>
      <c r="D17" s="1">
        <f t="shared" si="3"/>
        <v>716.45448665957474</v>
      </c>
      <c r="E17" s="1">
        <f t="shared" si="4"/>
        <v>122085.86763806814</v>
      </c>
    </row>
    <row r="18" spans="1:5">
      <c r="A18">
        <f t="shared" si="0"/>
        <v>5</v>
      </c>
      <c r="B18" s="1">
        <f t="shared" si="1"/>
        <v>1451.3559902328007</v>
      </c>
      <c r="C18" s="1">
        <f t="shared" si="2"/>
        <v>739.1884290107364</v>
      </c>
      <c r="D18" s="1">
        <f t="shared" si="3"/>
        <v>712.16756122206425</v>
      </c>
      <c r="E18" s="1">
        <f t="shared" si="4"/>
        <v>121346.6792090574</v>
      </c>
    </row>
    <row r="19" spans="1:5">
      <c r="A19">
        <f t="shared" si="0"/>
        <v>6</v>
      </c>
      <c r="B19" s="1">
        <f t="shared" si="1"/>
        <v>1451.3559902328007</v>
      </c>
      <c r="C19" s="1">
        <f t="shared" si="2"/>
        <v>743.50036151329914</v>
      </c>
      <c r="D19" s="1">
        <f t="shared" si="3"/>
        <v>707.85562871950151</v>
      </c>
      <c r="E19" s="1">
        <f t="shared" si="4"/>
        <v>120603.1788475441</v>
      </c>
    </row>
    <row r="20" spans="1:5">
      <c r="A20">
        <f t="shared" si="0"/>
        <v>7</v>
      </c>
      <c r="B20" s="1">
        <f t="shared" si="1"/>
        <v>1451.3559902328007</v>
      </c>
      <c r="C20" s="1">
        <f t="shared" si="2"/>
        <v>747.83744695546</v>
      </c>
      <c r="D20" s="1">
        <f t="shared" si="3"/>
        <v>703.51854327734065</v>
      </c>
      <c r="E20" s="1">
        <f t="shared" si="4"/>
        <v>119855.34140058864</v>
      </c>
    </row>
    <row r="21" spans="1:5">
      <c r="A21">
        <f t="shared" si="0"/>
        <v>8</v>
      </c>
      <c r="B21" s="1">
        <f t="shared" si="1"/>
        <v>1451.3559902328007</v>
      </c>
      <c r="C21" s="1">
        <f t="shared" si="2"/>
        <v>752.19983206270024</v>
      </c>
      <c r="D21" s="1">
        <f t="shared" si="3"/>
        <v>699.15615817010041</v>
      </c>
      <c r="E21" s="1">
        <f t="shared" si="4"/>
        <v>119103.14156852594</v>
      </c>
    </row>
    <row r="22" spans="1:5">
      <c r="A22">
        <f t="shared" si="0"/>
        <v>9</v>
      </c>
      <c r="B22" s="1">
        <f t="shared" si="1"/>
        <v>1451.3559902328007</v>
      </c>
      <c r="C22" s="1">
        <f t="shared" si="2"/>
        <v>756.58766441639932</v>
      </c>
      <c r="D22" s="1">
        <f t="shared" si="3"/>
        <v>694.76832581640133</v>
      </c>
      <c r="E22" s="1">
        <f t="shared" si="4"/>
        <v>118346.55390410955</v>
      </c>
    </row>
    <row r="23" spans="1:5">
      <c r="A23">
        <f t="shared" si="0"/>
        <v>10</v>
      </c>
      <c r="B23" s="1">
        <f t="shared" si="1"/>
        <v>1451.3559902328007</v>
      </c>
      <c r="C23" s="1">
        <f t="shared" si="2"/>
        <v>761.00109245882823</v>
      </c>
      <c r="D23" s="1">
        <f t="shared" si="3"/>
        <v>690.35489777397243</v>
      </c>
      <c r="E23" s="1">
        <f t="shared" si="4"/>
        <v>117585.55281165072</v>
      </c>
    </row>
    <row r="24" spans="1:5">
      <c r="A24">
        <f t="shared" si="0"/>
        <v>11</v>
      </c>
      <c r="B24" s="1">
        <f t="shared" si="1"/>
        <v>1451.3559902328007</v>
      </c>
      <c r="C24" s="1">
        <f t="shared" si="2"/>
        <v>765.44026549817147</v>
      </c>
      <c r="D24" s="1">
        <f t="shared" si="3"/>
        <v>685.91572473462918</v>
      </c>
      <c r="E24" s="1">
        <f t="shared" si="4"/>
        <v>116820.11254615255</v>
      </c>
    </row>
    <row r="25" spans="1:5">
      <c r="A25">
        <f t="shared" si="0"/>
        <v>12</v>
      </c>
      <c r="B25" s="1">
        <f t="shared" si="1"/>
        <v>1451.3559902328007</v>
      </c>
      <c r="C25" s="1">
        <f t="shared" si="2"/>
        <v>769.90533371357742</v>
      </c>
      <c r="D25" s="1">
        <f t="shared" si="3"/>
        <v>681.45065651922323</v>
      </c>
      <c r="E25" s="1">
        <f t="shared" si="4"/>
        <v>116050.20721243898</v>
      </c>
    </row>
    <row r="26" spans="1:5">
      <c r="A26">
        <f t="shared" si="0"/>
        <v>13</v>
      </c>
      <c r="B26" s="1">
        <f t="shared" si="1"/>
        <v>1451.3559902328007</v>
      </c>
      <c r="C26" s="1">
        <f t="shared" si="2"/>
        <v>774.39644816023986</v>
      </c>
      <c r="D26" s="1">
        <f t="shared" si="3"/>
        <v>676.95954207256079</v>
      </c>
      <c r="E26" s="1">
        <f t="shared" si="4"/>
        <v>115275.81076427874</v>
      </c>
    </row>
    <row r="27" spans="1:5">
      <c r="A27">
        <f t="shared" si="0"/>
        <v>14</v>
      </c>
      <c r="B27" s="1">
        <f t="shared" si="1"/>
        <v>1451.3559902328007</v>
      </c>
      <c r="C27" s="1">
        <f t="shared" si="2"/>
        <v>778.91376077450798</v>
      </c>
      <c r="D27" s="1">
        <f t="shared" si="3"/>
        <v>672.44222945829267</v>
      </c>
      <c r="E27" s="1">
        <f t="shared" si="4"/>
        <v>114496.89700350423</v>
      </c>
    </row>
    <row r="28" spans="1:5">
      <c r="A28">
        <f t="shared" si="0"/>
        <v>15</v>
      </c>
      <c r="B28" s="1">
        <f t="shared" si="1"/>
        <v>1451.3559902328007</v>
      </c>
      <c r="C28" s="1">
        <f t="shared" si="2"/>
        <v>783.45742437902595</v>
      </c>
      <c r="D28" s="1">
        <f t="shared" si="3"/>
        <v>667.8985658537747</v>
      </c>
      <c r="E28" s="1">
        <f t="shared" si="4"/>
        <v>113713.4395791252</v>
      </c>
    </row>
    <row r="29" spans="1:5">
      <c r="A29">
        <f t="shared" si="0"/>
        <v>16</v>
      </c>
      <c r="B29" s="1">
        <f t="shared" si="1"/>
        <v>1451.3559902328007</v>
      </c>
      <c r="C29" s="1">
        <f t="shared" si="2"/>
        <v>788.02759268790362</v>
      </c>
      <c r="D29" s="1">
        <f t="shared" si="3"/>
        <v>663.32839754489703</v>
      </c>
      <c r="E29" s="1">
        <f t="shared" si="4"/>
        <v>112925.41198643731</v>
      </c>
    </row>
    <row r="30" spans="1:5">
      <c r="A30">
        <f t="shared" si="0"/>
        <v>17</v>
      </c>
      <c r="B30" s="1">
        <f t="shared" si="1"/>
        <v>1451.3559902328007</v>
      </c>
      <c r="C30" s="1">
        <f t="shared" si="2"/>
        <v>792.62442031191631</v>
      </c>
      <c r="D30" s="1">
        <f t="shared" si="3"/>
        <v>658.73156992088434</v>
      </c>
      <c r="E30" s="1">
        <f t="shared" si="4"/>
        <v>112132.78756612539</v>
      </c>
    </row>
    <row r="31" spans="1:5">
      <c r="A31">
        <f t="shared" si="0"/>
        <v>18</v>
      </c>
      <c r="B31" s="1">
        <f t="shared" si="1"/>
        <v>1451.3559902328007</v>
      </c>
      <c r="C31" s="1">
        <f t="shared" si="2"/>
        <v>797.24806276373579</v>
      </c>
      <c r="D31" s="1">
        <f t="shared" si="3"/>
        <v>654.10792746906486</v>
      </c>
      <c r="E31" s="1">
        <f t="shared" si="4"/>
        <v>111335.53950336165</v>
      </c>
    </row>
    <row r="32" spans="1:5">
      <c r="A32">
        <f t="shared" si="0"/>
        <v>19</v>
      </c>
      <c r="B32" s="1">
        <f t="shared" si="1"/>
        <v>1451.3559902328007</v>
      </c>
      <c r="C32" s="1">
        <f t="shared" si="2"/>
        <v>801.89867646319101</v>
      </c>
      <c r="D32" s="1">
        <f t="shared" si="3"/>
        <v>649.45731376960964</v>
      </c>
      <c r="E32" s="1">
        <f t="shared" si="4"/>
        <v>110533.64082689847</v>
      </c>
    </row>
    <row r="33" spans="1:5">
      <c r="A33">
        <f t="shared" si="0"/>
        <v>20</v>
      </c>
      <c r="B33" s="1">
        <f t="shared" si="1"/>
        <v>1451.3559902328007</v>
      </c>
      <c r="C33" s="1">
        <f t="shared" si="2"/>
        <v>806.57641874255955</v>
      </c>
      <c r="D33" s="1">
        <f t="shared" si="3"/>
        <v>644.7795714902411</v>
      </c>
      <c r="E33" s="1">
        <f t="shared" si="4"/>
        <v>109727.0644081559</v>
      </c>
    </row>
    <row r="34" spans="1:5">
      <c r="A34">
        <f t="shared" si="0"/>
        <v>21</v>
      </c>
      <c r="B34" s="1">
        <f t="shared" si="1"/>
        <v>1451.3559902328007</v>
      </c>
      <c r="C34" s="1">
        <f t="shared" si="2"/>
        <v>811.28144785189124</v>
      </c>
      <c r="D34" s="1">
        <f t="shared" si="3"/>
        <v>640.07454238090941</v>
      </c>
      <c r="E34" s="1">
        <f t="shared" si="4"/>
        <v>108915.78296030402</v>
      </c>
    </row>
    <row r="35" spans="1:5">
      <c r="A35">
        <f t="shared" si="0"/>
        <v>22</v>
      </c>
      <c r="B35" s="1">
        <f t="shared" si="1"/>
        <v>1451.3559902328007</v>
      </c>
      <c r="C35" s="1">
        <f t="shared" si="2"/>
        <v>816.01392296436052</v>
      </c>
      <c r="D35" s="1">
        <f t="shared" si="3"/>
        <v>635.34206726844013</v>
      </c>
      <c r="E35" s="1">
        <f t="shared" si="4"/>
        <v>108099.76903733966</v>
      </c>
    </row>
    <row r="36" spans="1:5">
      <c r="A36">
        <f t="shared" si="0"/>
        <v>23</v>
      </c>
      <c r="B36" s="1">
        <f t="shared" si="1"/>
        <v>1451.3559902328007</v>
      </c>
      <c r="C36" s="1">
        <f t="shared" si="2"/>
        <v>820.77400418165257</v>
      </c>
      <c r="D36" s="1">
        <f t="shared" si="3"/>
        <v>630.58198605114808</v>
      </c>
      <c r="E36" s="1">
        <f t="shared" si="4"/>
        <v>107278.995033158</v>
      </c>
    </row>
    <row r="37" spans="1:5">
      <c r="A37">
        <f t="shared" si="0"/>
        <v>24</v>
      </c>
      <c r="B37" s="1">
        <f t="shared" si="1"/>
        <v>1451.3559902328007</v>
      </c>
      <c r="C37" s="1">
        <f t="shared" si="2"/>
        <v>825.56185253937895</v>
      </c>
      <c r="D37" s="1">
        <f t="shared" si="3"/>
        <v>625.7941376934217</v>
      </c>
      <c r="E37" s="1">
        <f t="shared" si="4"/>
        <v>106453.43318061862</v>
      </c>
    </row>
    <row r="38" spans="1:5">
      <c r="A38">
        <f t="shared" si="0"/>
        <v>25</v>
      </c>
      <c r="B38" s="1">
        <f t="shared" si="1"/>
        <v>1451.3559902328007</v>
      </c>
      <c r="C38" s="1">
        <f t="shared" si="2"/>
        <v>830.37763001252529</v>
      </c>
      <c r="D38" s="1">
        <f t="shared" si="3"/>
        <v>620.97836022027536</v>
      </c>
      <c r="E38" s="1">
        <f t="shared" si="4"/>
        <v>105623.05555060609</v>
      </c>
    </row>
    <row r="39" spans="1:5">
      <c r="A39">
        <f t="shared" si="0"/>
        <v>26</v>
      </c>
      <c r="B39" s="1">
        <f t="shared" si="1"/>
        <v>1451.3559902328007</v>
      </c>
      <c r="C39" s="1">
        <f t="shared" si="2"/>
        <v>835.22149952093173</v>
      </c>
      <c r="D39" s="1">
        <f t="shared" si="3"/>
        <v>616.13449071186892</v>
      </c>
      <c r="E39" s="1">
        <f t="shared" si="4"/>
        <v>104787.83405108516</v>
      </c>
    </row>
    <row r="40" spans="1:5">
      <c r="A40">
        <f t="shared" si="0"/>
        <v>27</v>
      </c>
      <c r="B40" s="1">
        <f t="shared" si="1"/>
        <v>1451.3559902328007</v>
      </c>
      <c r="C40" s="1">
        <f t="shared" si="2"/>
        <v>840.09362493480387</v>
      </c>
      <c r="D40" s="1">
        <f t="shared" si="3"/>
        <v>611.26236529799678</v>
      </c>
      <c r="E40" s="1">
        <f t="shared" si="4"/>
        <v>103947.74042615035</v>
      </c>
    </row>
    <row r="41" spans="1:5">
      <c r="A41">
        <f t="shared" si="0"/>
        <v>28</v>
      </c>
      <c r="B41" s="1">
        <f t="shared" si="1"/>
        <v>1451.3559902328007</v>
      </c>
      <c r="C41" s="1">
        <f t="shared" si="2"/>
        <v>844.99417108025693</v>
      </c>
      <c r="D41" s="1">
        <f t="shared" si="3"/>
        <v>606.36181915254372</v>
      </c>
      <c r="E41" s="1">
        <f t="shared" si="4"/>
        <v>103102.7462550701</v>
      </c>
    </row>
    <row r="42" spans="1:5">
      <c r="A42">
        <f t="shared" si="0"/>
        <v>29</v>
      </c>
      <c r="B42" s="1">
        <f t="shared" si="1"/>
        <v>1451.3559902328007</v>
      </c>
      <c r="C42" s="1">
        <f t="shared" si="2"/>
        <v>849.92330374489165</v>
      </c>
      <c r="D42" s="1">
        <f t="shared" si="3"/>
        <v>601.432686487909</v>
      </c>
      <c r="E42" s="1">
        <f t="shared" si="4"/>
        <v>102252.82295132522</v>
      </c>
    </row>
    <row r="43" spans="1:5">
      <c r="A43">
        <f t="shared" si="0"/>
        <v>30</v>
      </c>
      <c r="B43" s="1">
        <f t="shared" si="1"/>
        <v>1451.3559902328007</v>
      </c>
      <c r="C43" s="1">
        <f t="shared" si="2"/>
        <v>854.88118968340348</v>
      </c>
      <c r="D43" s="1">
        <f t="shared" si="3"/>
        <v>596.47480054939717</v>
      </c>
      <c r="E43" s="1">
        <f t="shared" si="4"/>
        <v>101397.94176164181</v>
      </c>
    </row>
    <row r="44" spans="1:5">
      <c r="A44">
        <f t="shared" si="0"/>
        <v>31</v>
      </c>
      <c r="B44" s="1">
        <f t="shared" si="1"/>
        <v>1451.3559902328007</v>
      </c>
      <c r="C44" s="1">
        <f t="shared" si="2"/>
        <v>859.86799662322346</v>
      </c>
      <c r="D44" s="1">
        <f t="shared" si="3"/>
        <v>591.48799360957719</v>
      </c>
      <c r="E44" s="1">
        <f t="shared" si="4"/>
        <v>100538.07376501858</v>
      </c>
    </row>
    <row r="45" spans="1:5">
      <c r="A45">
        <f t="shared" si="0"/>
        <v>32</v>
      </c>
      <c r="B45" s="1">
        <f t="shared" si="1"/>
        <v>1451.3559902328007</v>
      </c>
      <c r="C45" s="1">
        <f t="shared" si="2"/>
        <v>864.88389327019229</v>
      </c>
      <c r="D45" s="1">
        <f t="shared" si="3"/>
        <v>586.47209696260836</v>
      </c>
      <c r="E45" s="1">
        <f t="shared" si="4"/>
        <v>99673.189871748385</v>
      </c>
    </row>
    <row r="46" spans="1:5">
      <c r="A46">
        <f t="shared" si="0"/>
        <v>33</v>
      </c>
      <c r="B46" s="1">
        <f t="shared" si="1"/>
        <v>1451.3559902328007</v>
      </c>
      <c r="C46" s="1">
        <f t="shared" si="2"/>
        <v>869.92904931426835</v>
      </c>
      <c r="D46" s="1">
        <f t="shared" si="3"/>
        <v>581.4269409185323</v>
      </c>
      <c r="E46" s="1">
        <f t="shared" si="4"/>
        <v>98803.260822434124</v>
      </c>
    </row>
    <row r="47" spans="1:5">
      <c r="A47">
        <f t="shared" si="0"/>
        <v>34</v>
      </c>
      <c r="B47" s="1">
        <f t="shared" si="1"/>
        <v>1451.3559902328007</v>
      </c>
      <c r="C47" s="1">
        <f t="shared" si="2"/>
        <v>875.00363543526828</v>
      </c>
      <c r="D47" s="1">
        <f t="shared" si="3"/>
        <v>576.35235479753237</v>
      </c>
      <c r="E47" s="1">
        <f t="shared" si="4"/>
        <v>97928.257186998861</v>
      </c>
    </row>
    <row r="48" spans="1:5">
      <c r="A48">
        <f t="shared" si="0"/>
        <v>35</v>
      </c>
      <c r="B48" s="1">
        <f t="shared" si="1"/>
        <v>1451.3559902328007</v>
      </c>
      <c r="C48" s="1">
        <f t="shared" si="2"/>
        <v>880.1078233086406</v>
      </c>
      <c r="D48" s="1">
        <f t="shared" si="3"/>
        <v>571.24816692416005</v>
      </c>
      <c r="E48" s="1">
        <f t="shared" si="4"/>
        <v>97048.149363690216</v>
      </c>
    </row>
    <row r="49" spans="1:5">
      <c r="A49">
        <f t="shared" si="0"/>
        <v>36</v>
      </c>
      <c r="B49" s="1">
        <f t="shared" si="1"/>
        <v>1451.3559902328007</v>
      </c>
      <c r="C49" s="1">
        <f t="shared" si="2"/>
        <v>885.24178561127439</v>
      </c>
      <c r="D49" s="1">
        <f t="shared" si="3"/>
        <v>566.11420462152626</v>
      </c>
      <c r="E49" s="1">
        <f t="shared" si="4"/>
        <v>96162.907578078943</v>
      </c>
    </row>
    <row r="50" spans="1:5">
      <c r="A50">
        <f t="shared" si="0"/>
        <v>37</v>
      </c>
      <c r="B50" s="1">
        <f t="shared" si="1"/>
        <v>1451.3559902328007</v>
      </c>
      <c r="C50" s="1">
        <f t="shared" si="2"/>
        <v>890.40569602734013</v>
      </c>
      <c r="D50" s="1">
        <f t="shared" si="3"/>
        <v>560.95029420546052</v>
      </c>
      <c r="E50" s="1">
        <f t="shared" si="4"/>
        <v>95272.501882051598</v>
      </c>
    </row>
    <row r="51" spans="1:5">
      <c r="A51">
        <f t="shared" si="0"/>
        <v>38</v>
      </c>
      <c r="B51" s="1">
        <f t="shared" si="1"/>
        <v>1451.3559902328007</v>
      </c>
      <c r="C51" s="1">
        <f t="shared" si="2"/>
        <v>895.59972925416628</v>
      </c>
      <c r="D51" s="1">
        <f t="shared" si="3"/>
        <v>555.75626097863437</v>
      </c>
      <c r="E51" s="1">
        <f t="shared" si="4"/>
        <v>94376.902152797426</v>
      </c>
    </row>
    <row r="52" spans="1:5">
      <c r="A52">
        <f t="shared" si="0"/>
        <v>39</v>
      </c>
      <c r="B52" s="1">
        <f t="shared" si="1"/>
        <v>1451.3559902328007</v>
      </c>
      <c r="C52" s="1">
        <f t="shared" si="2"/>
        <v>900.82406100814899</v>
      </c>
      <c r="D52" s="1">
        <f t="shared" si="3"/>
        <v>550.53192922465166</v>
      </c>
      <c r="E52" s="1">
        <f t="shared" si="4"/>
        <v>93476.07809178927</v>
      </c>
    </row>
    <row r="53" spans="1:5">
      <c r="A53">
        <f t="shared" si="0"/>
        <v>40</v>
      </c>
      <c r="B53" s="1">
        <f t="shared" si="1"/>
        <v>1451.3559902328007</v>
      </c>
      <c r="C53" s="1">
        <f t="shared" si="2"/>
        <v>906.07886803069653</v>
      </c>
      <c r="D53" s="1">
        <f t="shared" si="3"/>
        <v>545.27712220210412</v>
      </c>
      <c r="E53" s="1">
        <f t="shared" si="4"/>
        <v>92569.999223758568</v>
      </c>
    </row>
    <row r="54" spans="1:5">
      <c r="A54">
        <f t="shared" si="0"/>
        <v>41</v>
      </c>
      <c r="B54" s="1">
        <f t="shared" si="1"/>
        <v>1451.3559902328007</v>
      </c>
      <c r="C54" s="1">
        <f t="shared" si="2"/>
        <v>911.36432809420899</v>
      </c>
      <c r="D54" s="1">
        <f t="shared" si="3"/>
        <v>539.99166213859166</v>
      </c>
      <c r="E54" s="1">
        <f t="shared" si="4"/>
        <v>91658.634895664363</v>
      </c>
    </row>
    <row r="55" spans="1:5">
      <c r="A55">
        <f t="shared" si="0"/>
        <v>42</v>
      </c>
      <c r="B55" s="1">
        <f t="shared" si="1"/>
        <v>1451.3559902328007</v>
      </c>
      <c r="C55" s="1">
        <f t="shared" si="2"/>
        <v>916.68062000809186</v>
      </c>
      <c r="D55" s="1">
        <f t="shared" si="3"/>
        <v>534.67537022470879</v>
      </c>
      <c r="E55" s="1">
        <f t="shared" si="4"/>
        <v>90741.954275656273</v>
      </c>
    </row>
    <row r="56" spans="1:5">
      <c r="A56">
        <f t="shared" si="0"/>
        <v>43</v>
      </c>
      <c r="B56" s="1">
        <f t="shared" si="1"/>
        <v>1451.3559902328007</v>
      </c>
      <c r="C56" s="1">
        <f t="shared" si="2"/>
        <v>922.02792362480568</v>
      </c>
      <c r="D56" s="1">
        <f t="shared" si="3"/>
        <v>529.32806660799497</v>
      </c>
      <c r="E56" s="1">
        <f t="shared" si="4"/>
        <v>89819.926352031471</v>
      </c>
    </row>
    <row r="57" spans="1:5">
      <c r="A57">
        <f t="shared" si="0"/>
        <v>44</v>
      </c>
      <c r="B57" s="1">
        <f t="shared" si="1"/>
        <v>1451.3559902328007</v>
      </c>
      <c r="C57" s="1">
        <f t="shared" si="2"/>
        <v>927.40641984595038</v>
      </c>
      <c r="D57" s="1">
        <f t="shared" si="3"/>
        <v>523.94957038685027</v>
      </c>
      <c r="E57" s="1">
        <f t="shared" si="4"/>
        <v>88892.519932185518</v>
      </c>
    </row>
    <row r="58" spans="1:5">
      <c r="A58">
        <f t="shared" si="0"/>
        <v>45</v>
      </c>
      <c r="B58" s="1">
        <f t="shared" si="1"/>
        <v>1451.3559902328007</v>
      </c>
      <c r="C58" s="1">
        <f t="shared" si="2"/>
        <v>932.8162906283851</v>
      </c>
      <c r="D58" s="1">
        <f t="shared" si="3"/>
        <v>518.53969960441555</v>
      </c>
      <c r="E58" s="1">
        <f t="shared" si="4"/>
        <v>87959.703641557135</v>
      </c>
    </row>
    <row r="59" spans="1:5">
      <c r="A59">
        <f t="shared" si="0"/>
        <v>46</v>
      </c>
      <c r="B59" s="1">
        <f t="shared" si="1"/>
        <v>1451.3559902328007</v>
      </c>
      <c r="C59" s="1">
        <f t="shared" si="2"/>
        <v>938.25771899038398</v>
      </c>
      <c r="D59" s="1">
        <f t="shared" si="3"/>
        <v>513.09827124241667</v>
      </c>
      <c r="E59" s="1">
        <f t="shared" si="4"/>
        <v>87021.445922566752</v>
      </c>
    </row>
    <row r="60" spans="1:5">
      <c r="A60">
        <f t="shared" si="0"/>
        <v>47</v>
      </c>
      <c r="B60" s="1">
        <f t="shared" si="1"/>
        <v>1451.3559902328007</v>
      </c>
      <c r="C60" s="1">
        <f t="shared" si="2"/>
        <v>943.73088901782785</v>
      </c>
      <c r="D60" s="1">
        <f t="shared" si="3"/>
        <v>507.62510121497274</v>
      </c>
      <c r="E60" s="1">
        <f t="shared" si="4"/>
        <v>86077.715033548928</v>
      </c>
    </row>
    <row r="61" spans="1:5">
      <c r="A61">
        <f t="shared" si="0"/>
        <v>48</v>
      </c>
      <c r="B61" s="1">
        <f t="shared" si="1"/>
        <v>1451.3559902328007</v>
      </c>
      <c r="C61" s="1">
        <f t="shared" si="2"/>
        <v>949.23598587043193</v>
      </c>
      <c r="D61" s="1">
        <f t="shared" si="3"/>
        <v>502.12000436236877</v>
      </c>
      <c r="E61" s="1">
        <f t="shared" si="4"/>
        <v>85128.479047678498</v>
      </c>
    </row>
    <row r="62" spans="1:5">
      <c r="A62">
        <f t="shared" si="0"/>
        <v>49</v>
      </c>
      <c r="B62" s="1">
        <f t="shared" si="1"/>
        <v>1451.3559902328007</v>
      </c>
      <c r="C62" s="1">
        <f t="shared" si="2"/>
        <v>954.77319578800939</v>
      </c>
      <c r="D62" s="1">
        <f t="shared" si="3"/>
        <v>496.58279444479126</v>
      </c>
      <c r="E62" s="1">
        <f t="shared" si="4"/>
        <v>84173.705851890496</v>
      </c>
    </row>
    <row r="63" spans="1:5">
      <c r="A63">
        <f t="shared" si="0"/>
        <v>50</v>
      </c>
      <c r="B63" s="1">
        <f t="shared" si="1"/>
        <v>1451.3559902328007</v>
      </c>
      <c r="C63" s="1">
        <f t="shared" si="2"/>
        <v>960.34270609677276</v>
      </c>
      <c r="D63" s="1">
        <f t="shared" si="3"/>
        <v>491.01328413602789</v>
      </c>
      <c r="E63" s="1">
        <f t="shared" si="4"/>
        <v>83213.36314579373</v>
      </c>
    </row>
    <row r="64" spans="1:5">
      <c r="A64">
        <f t="shared" si="0"/>
        <v>51</v>
      </c>
      <c r="B64" s="1">
        <f t="shared" si="1"/>
        <v>1451.3559902328007</v>
      </c>
      <c r="C64" s="1">
        <f t="shared" si="2"/>
        <v>965.94470521567052</v>
      </c>
      <c r="D64" s="1">
        <f t="shared" si="3"/>
        <v>485.41128501713013</v>
      </c>
      <c r="E64" s="1">
        <f t="shared" si="4"/>
        <v>82247.418440578054</v>
      </c>
    </row>
    <row r="65" spans="1:5">
      <c r="A65">
        <f t="shared" si="0"/>
        <v>52</v>
      </c>
      <c r="B65" s="1">
        <f t="shared" si="1"/>
        <v>1451.3559902328007</v>
      </c>
      <c r="C65" s="1">
        <f t="shared" si="2"/>
        <v>971.57938266276199</v>
      </c>
      <c r="D65" s="1">
        <f t="shared" si="3"/>
        <v>479.77660757003866</v>
      </c>
      <c r="E65" s="1">
        <f t="shared" si="4"/>
        <v>81275.839057915291</v>
      </c>
    </row>
    <row r="66" spans="1:5">
      <c r="A66">
        <f t="shared" si="0"/>
        <v>53</v>
      </c>
      <c r="B66" s="1">
        <f t="shared" si="1"/>
        <v>1451.3559902328007</v>
      </c>
      <c r="C66" s="1">
        <f t="shared" si="2"/>
        <v>977.24692906162818</v>
      </c>
      <c r="D66" s="1">
        <f t="shared" si="3"/>
        <v>474.10906117117253</v>
      </c>
      <c r="E66" s="1">
        <f t="shared" si="4"/>
        <v>80298.592128853663</v>
      </c>
    </row>
    <row r="67" spans="1:5">
      <c r="A67">
        <f t="shared" si="0"/>
        <v>54</v>
      </c>
      <c r="B67" s="1">
        <f t="shared" si="1"/>
        <v>1451.3559902328007</v>
      </c>
      <c r="C67" s="1">
        <f t="shared" si="2"/>
        <v>982.94753614782098</v>
      </c>
      <c r="D67" s="1">
        <f t="shared" si="3"/>
        <v>468.40845408497972</v>
      </c>
      <c r="E67" s="1">
        <f t="shared" si="4"/>
        <v>79315.644592705838</v>
      </c>
    </row>
    <row r="68" spans="1:5">
      <c r="A68">
        <f t="shared" si="0"/>
        <v>55</v>
      </c>
      <c r="B68" s="1">
        <f t="shared" si="1"/>
        <v>1451.3559902328007</v>
      </c>
      <c r="C68" s="1">
        <f t="shared" si="2"/>
        <v>988.68139677534987</v>
      </c>
      <c r="D68" s="1">
        <f t="shared" si="3"/>
        <v>462.67459345745073</v>
      </c>
      <c r="E68" s="1">
        <f t="shared" si="4"/>
        <v>78326.963195930482</v>
      </c>
    </row>
    <row r="69" spans="1:5">
      <c r="A69">
        <f t="shared" si="0"/>
        <v>56</v>
      </c>
      <c r="B69" s="1">
        <f t="shared" si="1"/>
        <v>1451.3559902328007</v>
      </c>
      <c r="C69" s="1">
        <f t="shared" si="2"/>
        <v>994.44870492320615</v>
      </c>
      <c r="D69" s="1">
        <f t="shared" si="3"/>
        <v>456.9072853095945</v>
      </c>
      <c r="E69" s="1">
        <f t="shared" si="4"/>
        <v>77332.51449100727</v>
      </c>
    </row>
    <row r="70" spans="1:5">
      <c r="A70">
        <f t="shared" si="0"/>
        <v>57</v>
      </c>
      <c r="B70" s="1">
        <f t="shared" si="1"/>
        <v>1451.3559902328007</v>
      </c>
      <c r="C70" s="1">
        <f t="shared" si="2"/>
        <v>1000.2496557019249</v>
      </c>
      <c r="D70" s="1">
        <f t="shared" si="3"/>
        <v>451.10633453087576</v>
      </c>
      <c r="E70" s="1">
        <f t="shared" si="4"/>
        <v>76332.264835305352</v>
      </c>
    </row>
    <row r="71" spans="1:5">
      <c r="A71">
        <f t="shared" si="0"/>
        <v>58</v>
      </c>
      <c r="B71" s="1">
        <f t="shared" si="1"/>
        <v>1451.3559902328007</v>
      </c>
      <c r="C71" s="1">
        <f t="shared" si="2"/>
        <v>1006.084445360186</v>
      </c>
      <c r="D71" s="1">
        <f t="shared" si="3"/>
        <v>445.27154487261458</v>
      </c>
      <c r="E71" s="1">
        <f t="shared" si="4"/>
        <v>75326.180389945162</v>
      </c>
    </row>
    <row r="72" spans="1:5">
      <c r="A72">
        <f t="shared" si="0"/>
        <v>59</v>
      </c>
      <c r="B72" s="1">
        <f t="shared" si="1"/>
        <v>1451.3559902328007</v>
      </c>
      <c r="C72" s="1">
        <f t="shared" si="2"/>
        <v>1011.9532712914538</v>
      </c>
      <c r="D72" s="1">
        <f t="shared" si="3"/>
        <v>439.40271894134679</v>
      </c>
      <c r="E72" s="1">
        <f t="shared" si="4"/>
        <v>74314.227118653711</v>
      </c>
    </row>
    <row r="73" spans="1:5">
      <c r="A73">
        <f t="shared" si="0"/>
        <v>60</v>
      </c>
      <c r="B73" s="1">
        <f t="shared" si="1"/>
        <v>1451.3559902328007</v>
      </c>
      <c r="C73" s="1">
        <f t="shared" si="2"/>
        <v>1017.856332040654</v>
      </c>
      <c r="D73" s="1">
        <f t="shared" si="3"/>
        <v>433.49965819214668</v>
      </c>
      <c r="E73" s="1">
        <f t="shared" si="4"/>
        <v>73296.370786613057</v>
      </c>
    </row>
    <row r="74" spans="1:5">
      <c r="A74">
        <f t="shared" si="0"/>
        <v>61</v>
      </c>
      <c r="B74" s="1">
        <f t="shared" si="1"/>
        <v>1451.3559902328007</v>
      </c>
      <c r="C74" s="1">
        <f t="shared" si="2"/>
        <v>1023.7938273108912</v>
      </c>
      <c r="D74" s="1">
        <f t="shared" si="3"/>
        <v>427.56216292190953</v>
      </c>
      <c r="E74" s="1">
        <f t="shared" si="4"/>
        <v>72272.576959302169</v>
      </c>
    </row>
    <row r="75" spans="1:5">
      <c r="A75">
        <f t="shared" si="0"/>
        <v>62</v>
      </c>
      <c r="B75" s="1">
        <f t="shared" si="1"/>
        <v>1451.3559902328007</v>
      </c>
      <c r="C75" s="1">
        <f t="shared" si="2"/>
        <v>1029.7659579702047</v>
      </c>
      <c r="D75" s="1">
        <f t="shared" si="3"/>
        <v>421.59003226259603</v>
      </c>
      <c r="E75" s="1">
        <f t="shared" si="4"/>
        <v>71242.811001331967</v>
      </c>
    </row>
    <row r="76" spans="1:5">
      <c r="A76">
        <f t="shared" si="0"/>
        <v>63</v>
      </c>
      <c r="B76" s="1">
        <f t="shared" si="1"/>
        <v>1451.3559902328007</v>
      </c>
      <c r="C76" s="1">
        <f t="shared" si="2"/>
        <v>1035.7729260583642</v>
      </c>
      <c r="D76" s="1">
        <f t="shared" si="3"/>
        <v>415.58306417443652</v>
      </c>
      <c r="E76" s="1">
        <f t="shared" si="4"/>
        <v>70207.038075273609</v>
      </c>
    </row>
    <row r="77" spans="1:5">
      <c r="A77">
        <f t="shared" si="0"/>
        <v>64</v>
      </c>
      <c r="B77" s="1">
        <f t="shared" si="1"/>
        <v>1451.3559902328007</v>
      </c>
      <c r="C77" s="1">
        <f t="shared" si="2"/>
        <v>1041.8149347937047</v>
      </c>
      <c r="D77" s="1">
        <f t="shared" si="3"/>
        <v>409.54105543909606</v>
      </c>
      <c r="E77" s="1">
        <f t="shared" si="4"/>
        <v>69165.223140479909</v>
      </c>
    </row>
    <row r="78" spans="1:5">
      <c r="A78">
        <f t="shared" si="0"/>
        <v>65</v>
      </c>
      <c r="B78" s="1">
        <f t="shared" si="1"/>
        <v>1451.3559902328007</v>
      </c>
      <c r="C78" s="1">
        <f t="shared" si="2"/>
        <v>1047.8921885800012</v>
      </c>
      <c r="D78" s="1">
        <f t="shared" si="3"/>
        <v>403.46380165279948</v>
      </c>
      <c r="E78" s="1">
        <f t="shared" si="4"/>
        <v>68117.330951899901</v>
      </c>
    </row>
    <row r="79" spans="1:5">
      <c r="A79">
        <f t="shared" si="0"/>
        <v>66</v>
      </c>
      <c r="B79" s="1">
        <f t="shared" si="1"/>
        <v>1451.3559902328007</v>
      </c>
      <c r="C79" s="1">
        <f t="shared" si="2"/>
        <v>1054.0048930133846</v>
      </c>
      <c r="D79" s="1">
        <f t="shared" si="3"/>
        <v>397.35109721941609</v>
      </c>
      <c r="E79" s="1">
        <f t="shared" si="4"/>
        <v>67063.326058886523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1451.3559902328007</v>
      </c>
      <c r="C80" s="1">
        <f t="shared" ref="C80:C143" si="7">IF(A80="","",B80-D80)</f>
        <v>1060.153254889296</v>
      </c>
      <c r="D80" s="1">
        <f t="shared" ref="D80:D143" si="8">IF(A80="","",(E79*($B$6/$B$8)))</f>
        <v>391.20273534350474</v>
      </c>
      <c r="E80" s="1">
        <f t="shared" ref="E80:E143" si="9">IF(A80="","",E79-C80)</f>
        <v>66003.172803997222</v>
      </c>
    </row>
    <row r="81" spans="1:5">
      <c r="A81">
        <f t="shared" si="5"/>
        <v>68</v>
      </c>
      <c r="B81" s="1">
        <f t="shared" si="6"/>
        <v>1451.3559902328007</v>
      </c>
      <c r="C81" s="1">
        <f t="shared" si="7"/>
        <v>1066.3374822094834</v>
      </c>
      <c r="D81" s="1">
        <f t="shared" si="8"/>
        <v>385.01850802331717</v>
      </c>
      <c r="E81" s="1">
        <f t="shared" si="9"/>
        <v>64936.835321787737</v>
      </c>
    </row>
    <row r="82" spans="1:5">
      <c r="A82">
        <f t="shared" si="5"/>
        <v>69</v>
      </c>
      <c r="B82" s="1">
        <f t="shared" si="6"/>
        <v>1451.3559902328007</v>
      </c>
      <c r="C82" s="1">
        <f t="shared" si="7"/>
        <v>1072.5577841890388</v>
      </c>
      <c r="D82" s="1">
        <f t="shared" si="8"/>
        <v>378.79820604376181</v>
      </c>
      <c r="E82" s="1">
        <f t="shared" si="9"/>
        <v>63864.277537598697</v>
      </c>
    </row>
    <row r="83" spans="1:5">
      <c r="A83">
        <f t="shared" si="5"/>
        <v>70</v>
      </c>
      <c r="B83" s="1">
        <f t="shared" si="6"/>
        <v>1451.3559902328007</v>
      </c>
      <c r="C83" s="1">
        <f t="shared" si="7"/>
        <v>1078.8143712634749</v>
      </c>
      <c r="D83" s="1">
        <f t="shared" si="8"/>
        <v>372.54161896932573</v>
      </c>
      <c r="E83" s="1">
        <f t="shared" si="9"/>
        <v>62785.463166335219</v>
      </c>
    </row>
    <row r="84" spans="1:5">
      <c r="A84">
        <f t="shared" si="5"/>
        <v>71</v>
      </c>
      <c r="B84" s="1">
        <f t="shared" si="6"/>
        <v>1451.3559902328007</v>
      </c>
      <c r="C84" s="1">
        <f t="shared" si="7"/>
        <v>1085.1074550958451</v>
      </c>
      <c r="D84" s="1">
        <f t="shared" si="8"/>
        <v>366.24853513695547</v>
      </c>
      <c r="E84" s="1">
        <f t="shared" si="9"/>
        <v>61700.355711239376</v>
      </c>
    </row>
    <row r="85" spans="1:5">
      <c r="A85">
        <f t="shared" si="5"/>
        <v>72</v>
      </c>
      <c r="B85" s="1">
        <f t="shared" si="6"/>
        <v>1451.3559902328007</v>
      </c>
      <c r="C85" s="1">
        <f t="shared" si="7"/>
        <v>1091.4372485839042</v>
      </c>
      <c r="D85" s="1">
        <f t="shared" si="8"/>
        <v>359.9187416488964</v>
      </c>
      <c r="E85" s="1">
        <f t="shared" si="9"/>
        <v>60608.918462655471</v>
      </c>
    </row>
    <row r="86" spans="1:5">
      <c r="A86">
        <f t="shared" si="5"/>
        <v>73</v>
      </c>
      <c r="B86" s="1">
        <f t="shared" si="6"/>
        <v>1451.3559902328007</v>
      </c>
      <c r="C86" s="1">
        <f t="shared" si="7"/>
        <v>1097.8039658673104</v>
      </c>
      <c r="D86" s="1">
        <f t="shared" si="8"/>
        <v>353.55202436549024</v>
      </c>
      <c r="E86" s="1">
        <f t="shared" si="9"/>
        <v>59511.114496788163</v>
      </c>
    </row>
    <row r="87" spans="1:5">
      <c r="A87">
        <f t="shared" si="5"/>
        <v>74</v>
      </c>
      <c r="B87" s="1">
        <f t="shared" si="6"/>
        <v>1451.3559902328007</v>
      </c>
      <c r="C87" s="1">
        <f t="shared" si="7"/>
        <v>1104.2078223348697</v>
      </c>
      <c r="D87" s="1">
        <f t="shared" si="8"/>
        <v>347.14816789793099</v>
      </c>
      <c r="E87" s="1">
        <f t="shared" si="9"/>
        <v>58406.90667445329</v>
      </c>
    </row>
    <row r="88" spans="1:5">
      <c r="A88">
        <f t="shared" si="5"/>
        <v>75</v>
      </c>
      <c r="B88" s="1">
        <f t="shared" si="6"/>
        <v>1451.3559902328007</v>
      </c>
      <c r="C88" s="1">
        <f t="shared" si="7"/>
        <v>1110.649034631823</v>
      </c>
      <c r="D88" s="1">
        <f t="shared" si="8"/>
        <v>340.70695560097755</v>
      </c>
      <c r="E88" s="1">
        <f t="shared" si="9"/>
        <v>57296.257639821466</v>
      </c>
    </row>
    <row r="89" spans="1:5">
      <c r="A89">
        <f t="shared" si="5"/>
        <v>76</v>
      </c>
      <c r="B89" s="1">
        <f t="shared" si="6"/>
        <v>1451.3559902328007</v>
      </c>
      <c r="C89" s="1">
        <f t="shared" si="7"/>
        <v>1117.1278206671755</v>
      </c>
      <c r="D89" s="1">
        <f t="shared" si="8"/>
        <v>334.22816956562525</v>
      </c>
      <c r="E89" s="1">
        <f t="shared" si="9"/>
        <v>56179.129819154288</v>
      </c>
    </row>
    <row r="90" spans="1:5">
      <c r="A90">
        <f t="shared" si="5"/>
        <v>77</v>
      </c>
      <c r="B90" s="1">
        <f t="shared" si="6"/>
        <v>1451.3559902328007</v>
      </c>
      <c r="C90" s="1">
        <f t="shared" si="7"/>
        <v>1123.6443996210674</v>
      </c>
      <c r="D90" s="1">
        <f t="shared" si="8"/>
        <v>327.71159061173336</v>
      </c>
      <c r="E90" s="1">
        <f t="shared" si="9"/>
        <v>55055.485419533223</v>
      </c>
    </row>
    <row r="91" spans="1:5">
      <c r="A91">
        <f t="shared" si="5"/>
        <v>78</v>
      </c>
      <c r="B91" s="1">
        <f t="shared" si="6"/>
        <v>1451.3559902328007</v>
      </c>
      <c r="C91" s="1">
        <f t="shared" si="7"/>
        <v>1130.1989919521902</v>
      </c>
      <c r="D91" s="1">
        <f t="shared" si="8"/>
        <v>321.15699828061048</v>
      </c>
      <c r="E91" s="1">
        <f t="shared" si="9"/>
        <v>53925.286427581035</v>
      </c>
    </row>
    <row r="92" spans="1:5">
      <c r="A92">
        <f t="shared" si="5"/>
        <v>79</v>
      </c>
      <c r="B92" s="1">
        <f t="shared" si="6"/>
        <v>1451.3559902328007</v>
      </c>
      <c r="C92" s="1">
        <f t="shared" si="7"/>
        <v>1136.7918194052445</v>
      </c>
      <c r="D92" s="1">
        <f t="shared" si="8"/>
        <v>314.56417082755604</v>
      </c>
      <c r="E92" s="1">
        <f t="shared" si="9"/>
        <v>52788.494608175788</v>
      </c>
    </row>
    <row r="93" spans="1:5">
      <c r="A93">
        <f t="shared" si="5"/>
        <v>80</v>
      </c>
      <c r="B93" s="1">
        <f t="shared" si="6"/>
        <v>1451.3559902328007</v>
      </c>
      <c r="C93" s="1">
        <f t="shared" si="7"/>
        <v>1143.4231050184419</v>
      </c>
      <c r="D93" s="1">
        <f t="shared" si="8"/>
        <v>307.93288521435881</v>
      </c>
      <c r="E93" s="1">
        <f t="shared" si="9"/>
        <v>51645.071503157349</v>
      </c>
    </row>
    <row r="94" spans="1:5">
      <c r="A94">
        <f t="shared" si="5"/>
        <v>81</v>
      </c>
      <c r="B94" s="1">
        <f t="shared" si="6"/>
        <v>1451.3559902328007</v>
      </c>
      <c r="C94" s="1">
        <f t="shared" si="7"/>
        <v>1150.0930731310496</v>
      </c>
      <c r="D94" s="1">
        <f t="shared" si="8"/>
        <v>301.26291710175121</v>
      </c>
      <c r="E94" s="1">
        <f t="shared" si="9"/>
        <v>50494.978430026298</v>
      </c>
    </row>
    <row r="95" spans="1:5">
      <c r="A95">
        <f t="shared" si="5"/>
        <v>82</v>
      </c>
      <c r="B95" s="1">
        <f t="shared" si="6"/>
        <v>1451.3559902328007</v>
      </c>
      <c r="C95" s="1">
        <f t="shared" si="7"/>
        <v>1156.8019493909806</v>
      </c>
      <c r="D95" s="1">
        <f t="shared" si="8"/>
        <v>294.5540408418201</v>
      </c>
      <c r="E95" s="1">
        <f t="shared" si="9"/>
        <v>49338.176480635317</v>
      </c>
    </row>
    <row r="96" spans="1:5">
      <c r="A96">
        <f t="shared" si="5"/>
        <v>83</v>
      </c>
      <c r="B96" s="1">
        <f t="shared" si="6"/>
        <v>1451.3559902328007</v>
      </c>
      <c r="C96" s="1">
        <f t="shared" si="7"/>
        <v>1163.5499607624279</v>
      </c>
      <c r="D96" s="1">
        <f t="shared" si="8"/>
        <v>287.80602947037272</v>
      </c>
      <c r="E96" s="1">
        <f t="shared" si="9"/>
        <v>48174.626519872887</v>
      </c>
    </row>
    <row r="97" spans="1:5">
      <c r="A97">
        <f t="shared" si="5"/>
        <v>84</v>
      </c>
      <c r="B97" s="1">
        <f t="shared" si="6"/>
        <v>1451.3559902328007</v>
      </c>
      <c r="C97" s="1">
        <f t="shared" si="7"/>
        <v>1170.337335533542</v>
      </c>
      <c r="D97" s="1">
        <f t="shared" si="8"/>
        <v>281.01865469925855</v>
      </c>
      <c r="E97" s="1">
        <f t="shared" si="9"/>
        <v>47004.289184339345</v>
      </c>
    </row>
    <row r="98" spans="1:5">
      <c r="A98">
        <f t="shared" si="5"/>
        <v>85</v>
      </c>
      <c r="B98" s="1">
        <f t="shared" si="6"/>
        <v>1451.3559902328007</v>
      </c>
      <c r="C98" s="1">
        <f t="shared" si="7"/>
        <v>1177.1643033241544</v>
      </c>
      <c r="D98" s="1">
        <f t="shared" si="8"/>
        <v>274.1916869086462</v>
      </c>
      <c r="E98" s="1">
        <f t="shared" si="9"/>
        <v>45827.124881015188</v>
      </c>
    </row>
    <row r="99" spans="1:5">
      <c r="A99">
        <f t="shared" si="5"/>
        <v>86</v>
      </c>
      <c r="B99" s="1">
        <f t="shared" si="6"/>
        <v>1451.3559902328007</v>
      </c>
      <c r="C99" s="1">
        <f t="shared" si="7"/>
        <v>1184.0310950935454</v>
      </c>
      <c r="D99" s="1">
        <f t="shared" si="8"/>
        <v>267.32489513925526</v>
      </c>
      <c r="E99" s="1">
        <f t="shared" si="9"/>
        <v>44643.093785921643</v>
      </c>
    </row>
    <row r="100" spans="1:5">
      <c r="A100">
        <f t="shared" si="5"/>
        <v>87</v>
      </c>
      <c r="B100" s="1">
        <f t="shared" si="6"/>
        <v>1451.3559902328007</v>
      </c>
      <c r="C100" s="1">
        <f t="shared" si="7"/>
        <v>1190.9379431482578</v>
      </c>
      <c r="D100" s="1">
        <f t="shared" si="8"/>
        <v>260.41804708454293</v>
      </c>
      <c r="E100" s="1">
        <f t="shared" si="9"/>
        <v>43452.155842773383</v>
      </c>
    </row>
    <row r="101" spans="1:5">
      <c r="A101">
        <f t="shared" si="5"/>
        <v>88</v>
      </c>
      <c r="B101" s="1">
        <f t="shared" si="6"/>
        <v>1451.3559902328007</v>
      </c>
      <c r="C101" s="1">
        <f t="shared" si="7"/>
        <v>1197.885081149956</v>
      </c>
      <c r="D101" s="1">
        <f t="shared" si="8"/>
        <v>253.47090908284474</v>
      </c>
      <c r="E101" s="1">
        <f t="shared" si="9"/>
        <v>42254.270761623426</v>
      </c>
    </row>
    <row r="102" spans="1:5">
      <c r="A102">
        <f t="shared" si="5"/>
        <v>89</v>
      </c>
      <c r="B102" s="1">
        <f t="shared" si="6"/>
        <v>1451.3559902328007</v>
      </c>
      <c r="C102" s="1">
        <f t="shared" si="7"/>
        <v>1204.8727441233307</v>
      </c>
      <c r="D102" s="1">
        <f t="shared" si="8"/>
        <v>246.48324610947</v>
      </c>
      <c r="E102" s="1">
        <f t="shared" si="9"/>
        <v>41049.398017500098</v>
      </c>
    </row>
    <row r="103" spans="1:5">
      <c r="A103">
        <f t="shared" si="5"/>
        <v>90</v>
      </c>
      <c r="B103" s="1">
        <f t="shared" si="6"/>
        <v>1451.3559902328007</v>
      </c>
      <c r="C103" s="1">
        <f t="shared" si="7"/>
        <v>1211.90116846405</v>
      </c>
      <c r="D103" s="1">
        <f t="shared" si="8"/>
        <v>239.45482176875058</v>
      </c>
      <c r="E103" s="1">
        <f t="shared" si="9"/>
        <v>39837.496849036048</v>
      </c>
    </row>
    <row r="104" spans="1:5">
      <c r="A104">
        <f t="shared" si="5"/>
        <v>91</v>
      </c>
      <c r="B104" s="1">
        <f t="shared" si="6"/>
        <v>1451.3559902328007</v>
      </c>
      <c r="C104" s="1">
        <f t="shared" si="7"/>
        <v>1218.9705919467569</v>
      </c>
      <c r="D104" s="1">
        <f t="shared" si="8"/>
        <v>232.38539828604362</v>
      </c>
      <c r="E104" s="1">
        <f t="shared" si="9"/>
        <v>38618.526257089288</v>
      </c>
    </row>
    <row r="105" spans="1:5">
      <c r="A105">
        <f t="shared" si="5"/>
        <v>92</v>
      </c>
      <c r="B105" s="1">
        <f t="shared" si="6"/>
        <v>1451.3559902328007</v>
      </c>
      <c r="C105" s="1">
        <f t="shared" si="7"/>
        <v>1226.081253733113</v>
      </c>
      <c r="D105" s="1">
        <f t="shared" si="8"/>
        <v>225.27473649968752</v>
      </c>
      <c r="E105" s="1">
        <f t="shared" si="9"/>
        <v>37392.445003356173</v>
      </c>
    </row>
    <row r="106" spans="1:5">
      <c r="A106">
        <f t="shared" si="5"/>
        <v>93</v>
      </c>
      <c r="B106" s="1">
        <f t="shared" si="6"/>
        <v>1451.3559902328007</v>
      </c>
      <c r="C106" s="1">
        <f t="shared" si="7"/>
        <v>1233.2333943798897</v>
      </c>
      <c r="D106" s="1">
        <f t="shared" si="8"/>
        <v>218.12259585291102</v>
      </c>
      <c r="E106" s="1">
        <f t="shared" si="9"/>
        <v>36159.211608976286</v>
      </c>
    </row>
    <row r="107" spans="1:5">
      <c r="A107">
        <f t="shared" si="5"/>
        <v>94</v>
      </c>
      <c r="B107" s="1">
        <f t="shared" si="6"/>
        <v>1451.3559902328007</v>
      </c>
      <c r="C107" s="1">
        <f t="shared" si="7"/>
        <v>1240.4272558471057</v>
      </c>
      <c r="D107" s="1">
        <f t="shared" si="8"/>
        <v>210.92873438569501</v>
      </c>
      <c r="E107" s="1">
        <f t="shared" si="9"/>
        <v>34918.78435312918</v>
      </c>
    </row>
    <row r="108" spans="1:5">
      <c r="A108">
        <f t="shared" si="5"/>
        <v>95</v>
      </c>
      <c r="B108" s="1">
        <f t="shared" si="6"/>
        <v>1451.3559902328007</v>
      </c>
      <c r="C108" s="1">
        <f t="shared" si="7"/>
        <v>1247.6630815062138</v>
      </c>
      <c r="D108" s="1">
        <f t="shared" si="8"/>
        <v>203.69290872658689</v>
      </c>
      <c r="E108" s="1">
        <f t="shared" si="9"/>
        <v>33671.121271622964</v>
      </c>
    </row>
    <row r="109" spans="1:5">
      <c r="A109">
        <f t="shared" si="5"/>
        <v>96</v>
      </c>
      <c r="B109" s="1">
        <f t="shared" si="6"/>
        <v>1451.3559902328007</v>
      </c>
      <c r="C109" s="1">
        <f t="shared" si="7"/>
        <v>1254.9411161483333</v>
      </c>
      <c r="D109" s="1">
        <f t="shared" si="8"/>
        <v>196.4148740844673</v>
      </c>
      <c r="E109" s="1">
        <f t="shared" si="9"/>
        <v>32416.180155474631</v>
      </c>
    </row>
    <row r="110" spans="1:5">
      <c r="A110">
        <f t="shared" si="5"/>
        <v>97</v>
      </c>
      <c r="B110" s="1">
        <f t="shared" si="6"/>
        <v>1451.3559902328007</v>
      </c>
      <c r="C110" s="1">
        <f t="shared" si="7"/>
        <v>1262.2616059925319</v>
      </c>
      <c r="D110" s="1">
        <f t="shared" si="8"/>
        <v>189.09438424026868</v>
      </c>
      <c r="E110" s="1">
        <f t="shared" si="9"/>
        <v>31153.918549482099</v>
      </c>
    </row>
    <row r="111" spans="1:5">
      <c r="A111">
        <f t="shared" si="5"/>
        <v>98</v>
      </c>
      <c r="B111" s="1">
        <f t="shared" si="6"/>
        <v>1451.3559902328007</v>
      </c>
      <c r="C111" s="1">
        <f t="shared" si="7"/>
        <v>1269.6247986941551</v>
      </c>
      <c r="D111" s="1">
        <f t="shared" si="8"/>
        <v>181.73119153864559</v>
      </c>
      <c r="E111" s="1">
        <f t="shared" si="9"/>
        <v>29884.293750787943</v>
      </c>
    </row>
    <row r="112" spans="1:5">
      <c r="A112">
        <f t="shared" si="5"/>
        <v>99</v>
      </c>
      <c r="B112" s="1">
        <f t="shared" si="6"/>
        <v>1451.3559902328007</v>
      </c>
      <c r="C112" s="1">
        <f t="shared" si="7"/>
        <v>1277.0309433532043</v>
      </c>
      <c r="D112" s="1">
        <f t="shared" si="8"/>
        <v>174.32504687959636</v>
      </c>
      <c r="E112" s="1">
        <f t="shared" si="9"/>
        <v>28607.262807434738</v>
      </c>
    </row>
    <row r="113" spans="1:5">
      <c r="A113">
        <f t="shared" si="5"/>
        <v>100</v>
      </c>
      <c r="B113" s="1">
        <f t="shared" si="6"/>
        <v>1451.3559902328007</v>
      </c>
      <c r="C113" s="1">
        <f t="shared" si="7"/>
        <v>1284.4802905227648</v>
      </c>
      <c r="D113" s="1">
        <f t="shared" si="8"/>
        <v>166.87569971003597</v>
      </c>
      <c r="E113" s="1">
        <f t="shared" si="9"/>
        <v>27322.782516911971</v>
      </c>
    </row>
    <row r="114" spans="1:5">
      <c r="A114">
        <f t="shared" si="5"/>
        <v>101</v>
      </c>
      <c r="B114" s="1">
        <f t="shared" si="6"/>
        <v>1451.3559902328007</v>
      </c>
      <c r="C114" s="1">
        <f t="shared" si="7"/>
        <v>1291.9730922174808</v>
      </c>
      <c r="D114" s="1">
        <f t="shared" si="8"/>
        <v>159.38289801531985</v>
      </c>
      <c r="E114" s="1">
        <f t="shared" si="9"/>
        <v>26030.809424694489</v>
      </c>
    </row>
    <row r="115" spans="1:5">
      <c r="A115">
        <f t="shared" si="5"/>
        <v>102</v>
      </c>
      <c r="B115" s="1">
        <f t="shared" si="6"/>
        <v>1451.3559902328007</v>
      </c>
      <c r="C115" s="1">
        <f t="shared" si="7"/>
        <v>1299.5096019220828</v>
      </c>
      <c r="D115" s="1">
        <f t="shared" si="8"/>
        <v>151.84638831071786</v>
      </c>
      <c r="E115" s="1">
        <f t="shared" si="9"/>
        <v>24731.299822772406</v>
      </c>
    </row>
    <row r="116" spans="1:5">
      <c r="A116">
        <f t="shared" si="5"/>
        <v>103</v>
      </c>
      <c r="B116" s="1">
        <f t="shared" si="6"/>
        <v>1451.3559902328007</v>
      </c>
      <c r="C116" s="1">
        <f t="shared" si="7"/>
        <v>1307.0900745999616</v>
      </c>
      <c r="D116" s="1">
        <f t="shared" si="8"/>
        <v>144.26591563283904</v>
      </c>
      <c r="E116" s="1">
        <f t="shared" si="9"/>
        <v>23424.209748172445</v>
      </c>
    </row>
    <row r="117" spans="1:5">
      <c r="A117">
        <f t="shared" si="5"/>
        <v>104</v>
      </c>
      <c r="B117" s="1">
        <f t="shared" si="6"/>
        <v>1451.3559902328007</v>
      </c>
      <c r="C117" s="1">
        <f t="shared" si="7"/>
        <v>1314.7147667017948</v>
      </c>
      <c r="D117" s="1">
        <f t="shared" si="8"/>
        <v>136.64122353100595</v>
      </c>
      <c r="E117" s="1">
        <f t="shared" si="9"/>
        <v>22109.494981470649</v>
      </c>
    </row>
    <row r="118" spans="1:5">
      <c r="A118">
        <f t="shared" si="5"/>
        <v>105</v>
      </c>
      <c r="B118" s="1">
        <f t="shared" si="6"/>
        <v>1451.3559902328007</v>
      </c>
      <c r="C118" s="1">
        <f t="shared" si="7"/>
        <v>1322.3839361742218</v>
      </c>
      <c r="D118" s="1">
        <f t="shared" si="8"/>
        <v>128.97205405857878</v>
      </c>
      <c r="E118" s="1">
        <f t="shared" si="9"/>
        <v>20787.111045296428</v>
      </c>
    </row>
    <row r="119" spans="1:5">
      <c r="A119">
        <f t="shared" si="5"/>
        <v>106</v>
      </c>
      <c r="B119" s="1">
        <f t="shared" si="6"/>
        <v>1451.3559902328007</v>
      </c>
      <c r="C119" s="1">
        <f t="shared" si="7"/>
        <v>1330.0978424685716</v>
      </c>
      <c r="D119" s="1">
        <f t="shared" si="8"/>
        <v>121.25814776422916</v>
      </c>
      <c r="E119" s="1">
        <f t="shared" si="9"/>
        <v>19457.013202827857</v>
      </c>
    </row>
    <row r="120" spans="1:5">
      <c r="A120">
        <f t="shared" si="5"/>
        <v>107</v>
      </c>
      <c r="B120" s="1">
        <f t="shared" si="6"/>
        <v>1451.3559902328007</v>
      </c>
      <c r="C120" s="1">
        <f t="shared" si="7"/>
        <v>1337.856746549638</v>
      </c>
      <c r="D120" s="1">
        <f t="shared" si="8"/>
        <v>113.4992436831625</v>
      </c>
      <c r="E120" s="1">
        <f t="shared" si="9"/>
        <v>18119.156456278219</v>
      </c>
    </row>
    <row r="121" spans="1:5">
      <c r="A121">
        <f t="shared" si="5"/>
        <v>108</v>
      </c>
      <c r="B121" s="1">
        <f t="shared" si="6"/>
        <v>1451.3559902328007</v>
      </c>
      <c r="C121" s="1">
        <f t="shared" si="7"/>
        <v>1345.660910904511</v>
      </c>
      <c r="D121" s="1">
        <f t="shared" si="8"/>
        <v>105.69507932828961</v>
      </c>
      <c r="E121" s="1">
        <f t="shared" si="9"/>
        <v>16773.495545373709</v>
      </c>
    </row>
    <row r="122" spans="1:5">
      <c r="A122">
        <f t="shared" si="5"/>
        <v>109</v>
      </c>
      <c r="B122" s="1">
        <f t="shared" si="6"/>
        <v>1451.3559902328007</v>
      </c>
      <c r="C122" s="1">
        <f t="shared" si="7"/>
        <v>1353.5105995514541</v>
      </c>
      <c r="D122" s="1">
        <f t="shared" si="8"/>
        <v>97.845390681346643</v>
      </c>
      <c r="E122" s="1">
        <f t="shared" si="9"/>
        <v>15419.984945822256</v>
      </c>
    </row>
    <row r="123" spans="1:5">
      <c r="A123">
        <f t="shared" si="5"/>
        <v>110</v>
      </c>
      <c r="B123" s="1">
        <f t="shared" si="6"/>
        <v>1451.3559902328007</v>
      </c>
      <c r="C123" s="1">
        <f t="shared" si="7"/>
        <v>1361.4060780488376</v>
      </c>
      <c r="D123" s="1">
        <f t="shared" si="8"/>
        <v>89.949912183963164</v>
      </c>
      <c r="E123" s="1">
        <f t="shared" si="9"/>
        <v>14058.578867773418</v>
      </c>
    </row>
    <row r="124" spans="1:5">
      <c r="A124">
        <f t="shared" si="5"/>
        <v>111</v>
      </c>
      <c r="B124" s="1">
        <f t="shared" si="6"/>
        <v>1451.3559902328007</v>
      </c>
      <c r="C124" s="1">
        <f t="shared" si="7"/>
        <v>1369.3476135041224</v>
      </c>
      <c r="D124" s="1">
        <f t="shared" si="8"/>
        <v>82.008376728678272</v>
      </c>
      <c r="E124" s="1">
        <f t="shared" si="9"/>
        <v>12689.231254269296</v>
      </c>
    </row>
    <row r="125" spans="1:5">
      <c r="A125">
        <f t="shared" si="5"/>
        <v>112</v>
      </c>
      <c r="B125" s="1">
        <f t="shared" si="6"/>
        <v>1451.3559902328007</v>
      </c>
      <c r="C125" s="1">
        <f t="shared" si="7"/>
        <v>1377.3354745828965</v>
      </c>
      <c r="D125" s="1">
        <f t="shared" si="8"/>
        <v>74.020515649904226</v>
      </c>
      <c r="E125" s="1">
        <f t="shared" si="9"/>
        <v>11311.8957796864</v>
      </c>
    </row>
    <row r="126" spans="1:5">
      <c r="A126">
        <f t="shared" si="5"/>
        <v>113</v>
      </c>
      <c r="B126" s="1">
        <f t="shared" si="6"/>
        <v>1451.3559902328007</v>
      </c>
      <c r="C126" s="1">
        <f t="shared" si="7"/>
        <v>1385.3699315179633</v>
      </c>
      <c r="D126" s="1">
        <f t="shared" si="8"/>
        <v>65.986058714837341</v>
      </c>
      <c r="E126" s="1">
        <f t="shared" si="9"/>
        <v>9926.5258481684359</v>
      </c>
    </row>
    <row r="127" spans="1:5">
      <c r="A127">
        <f t="shared" si="5"/>
        <v>114</v>
      </c>
      <c r="B127" s="1">
        <f t="shared" si="6"/>
        <v>1451.3559902328007</v>
      </c>
      <c r="C127" s="1">
        <f t="shared" si="7"/>
        <v>1393.4512561184847</v>
      </c>
      <c r="D127" s="1">
        <f t="shared" si="8"/>
        <v>57.904734114315879</v>
      </c>
      <c r="E127" s="1">
        <f t="shared" si="9"/>
        <v>8533.0745920499503</v>
      </c>
    </row>
    <row r="128" spans="1:5">
      <c r="A128">
        <f t="shared" si="5"/>
        <v>115</v>
      </c>
      <c r="B128" s="1">
        <f t="shared" si="6"/>
        <v>1451.3559902328007</v>
      </c>
      <c r="C128" s="1">
        <f t="shared" si="7"/>
        <v>1401.579721779176</v>
      </c>
      <c r="D128" s="1">
        <f t="shared" si="8"/>
        <v>49.776268453624709</v>
      </c>
      <c r="E128" s="1">
        <f t="shared" si="9"/>
        <v>7131.4948702707743</v>
      </c>
    </row>
    <row r="129" spans="1:5">
      <c r="A129">
        <f t="shared" si="5"/>
        <v>116</v>
      </c>
      <c r="B129" s="1">
        <f t="shared" si="6"/>
        <v>1451.3559902328007</v>
      </c>
      <c r="C129" s="1">
        <f t="shared" si="7"/>
        <v>1409.7556034895545</v>
      </c>
      <c r="D129" s="1">
        <f t="shared" si="8"/>
        <v>41.600386743246183</v>
      </c>
      <c r="E129" s="1">
        <f t="shared" si="9"/>
        <v>5721.7392667812201</v>
      </c>
    </row>
    <row r="130" spans="1:5">
      <c r="A130">
        <f t="shared" si="5"/>
        <v>117</v>
      </c>
      <c r="B130" s="1">
        <f t="shared" si="6"/>
        <v>1451.3559902328007</v>
      </c>
      <c r="C130" s="1">
        <f t="shared" si="7"/>
        <v>1417.9791778432436</v>
      </c>
      <c r="D130" s="1">
        <f t="shared" si="8"/>
        <v>33.376812389557116</v>
      </c>
      <c r="E130" s="1">
        <f t="shared" si="9"/>
        <v>4303.7600889379764</v>
      </c>
    </row>
    <row r="131" spans="1:5">
      <c r="A131">
        <f t="shared" si="5"/>
        <v>118</v>
      </c>
      <c r="B131" s="1">
        <f t="shared" si="6"/>
        <v>1451.3559902328007</v>
      </c>
      <c r="C131" s="1">
        <f t="shared" si="7"/>
        <v>1426.2507230473291</v>
      </c>
      <c r="D131" s="1">
        <f t="shared" si="8"/>
        <v>25.105267185471529</v>
      </c>
      <c r="E131" s="1">
        <f t="shared" si="9"/>
        <v>2877.5093658906471</v>
      </c>
    </row>
    <row r="132" spans="1:5">
      <c r="A132">
        <f t="shared" si="5"/>
        <v>119</v>
      </c>
      <c r="B132" s="1">
        <f t="shared" si="6"/>
        <v>1451.3559902328007</v>
      </c>
      <c r="C132" s="1">
        <f t="shared" si="7"/>
        <v>1434.5705189317719</v>
      </c>
      <c r="D132" s="1">
        <f t="shared" si="8"/>
        <v>16.785471301028775</v>
      </c>
      <c r="E132" s="1">
        <f t="shared" si="9"/>
        <v>1442.9388469588753</v>
      </c>
    </row>
    <row r="133" spans="1:5">
      <c r="A133">
        <f t="shared" si="5"/>
        <v>120</v>
      </c>
      <c r="B133" s="1">
        <f t="shared" si="6"/>
        <v>1451.3559902328007</v>
      </c>
      <c r="C133" s="1">
        <f t="shared" si="7"/>
        <v>1442.9388469588739</v>
      </c>
      <c r="D133" s="1">
        <f t="shared" si="8"/>
        <v>8.4171432739267722</v>
      </c>
      <c r="E133" s="1">
        <f t="shared" si="9"/>
        <v>1.3642420526593924E-12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AA13" sqref="AA13"/>
    </sheetView>
  </sheetViews>
  <sheetFormatPr defaultRowHeight="15"/>
  <cols>
    <col min="5" max="5" width="18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9"/>
      <c r="J6" s="129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31"/>
      <c r="J7" s="131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31"/>
      <c r="J8" s="131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31"/>
      <c r="J9" s="131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S12" sqref="S12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9"/>
      <c r="K6" s="129"/>
    </row>
    <row r="7" spans="6:11">
      <c r="F7" s="66" t="s">
        <v>85</v>
      </c>
      <c r="G7" s="94">
        <f>'Profit and Loss Statement'!E21/'Profit and Loss Statement'!E8</f>
        <v>394028.41873684211</v>
      </c>
      <c r="H7" s="94">
        <f>'Profit and Loss Statement'!F21/'Profit and Loss Statement'!F8</f>
        <v>411899.93143157894</v>
      </c>
      <c r="I7" s="94">
        <f>'Profit and Loss Statement'!G21/'Profit and Loss Statement'!G8</f>
        <v>430229.25325157889</v>
      </c>
      <c r="J7" s="130"/>
      <c r="K7" s="130"/>
    </row>
    <row r="8" spans="6:11">
      <c r="F8" s="117"/>
      <c r="G8" s="117"/>
      <c r="H8" s="117"/>
      <c r="I8" s="117"/>
    </row>
    <row r="9" spans="6:11">
      <c r="F9" s="117"/>
      <c r="G9" s="117"/>
      <c r="H9" s="117"/>
      <c r="I9" s="117"/>
    </row>
    <row r="10" spans="6:11">
      <c r="F10" s="117"/>
      <c r="G10" s="117"/>
      <c r="H10" s="117"/>
      <c r="I10" s="117"/>
    </row>
    <row r="11" spans="6:11">
      <c r="F11" s="114" t="s">
        <v>86</v>
      </c>
      <c r="G11" s="116">
        <f>G7</f>
        <v>394028.41873684211</v>
      </c>
      <c r="H11" s="116">
        <f t="shared" ref="H11:K11" si="0">H7</f>
        <v>411899.93143157894</v>
      </c>
      <c r="I11" s="116">
        <f t="shared" si="0"/>
        <v>430229.25325157889</v>
      </c>
      <c r="J11" s="116">
        <f t="shared" si="0"/>
        <v>0</v>
      </c>
      <c r="K11" s="116">
        <f t="shared" si="0"/>
        <v>0</v>
      </c>
    </row>
    <row r="12" spans="6:11">
      <c r="F12" s="114"/>
      <c r="G12" s="114"/>
      <c r="H12" s="114"/>
      <c r="I12" s="114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Y18" sqref="Y18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9"/>
      <c r="J6" s="129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</v>
      </c>
      <c r="H8" s="101">
        <f>'Revenue Overview'!H5</f>
        <v>0.15</v>
      </c>
      <c r="I8" s="131"/>
      <c r="J8" s="131"/>
    </row>
    <row r="9" spans="5:10">
      <c r="E9" s="103" t="s">
        <v>12</v>
      </c>
      <c r="F9" s="104">
        <f>'Profit and Loss Statement'!E8</f>
        <v>0.95</v>
      </c>
      <c r="G9" s="104">
        <f>'Profit and Loss Statement'!F8</f>
        <v>0.95</v>
      </c>
      <c r="H9" s="101">
        <f>'Profit and Loss Statement'!G8</f>
        <v>0.95</v>
      </c>
      <c r="I9" s="131"/>
      <c r="J9" s="131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0.18158907309538136</v>
      </c>
      <c r="G12" s="101">
        <f>'Profit and Loss Statement'!F28/'Profit and Loss Statement'!F6</f>
        <v>0.24540880498784937</v>
      </c>
      <c r="H12" s="101">
        <f>'Profit and Loss Statement'!G28/'Profit and Loss Statement'!G6</f>
        <v>0.2852278005183646</v>
      </c>
      <c r="I12" s="131"/>
      <c r="J12" s="131"/>
    </row>
    <row r="13" spans="5:10">
      <c r="E13" s="66" t="s">
        <v>92</v>
      </c>
      <c r="F13" s="105">
        <f>'Balance Sheet'!E10/'Balance Sheet'!E15</f>
        <v>1.6214636713733563</v>
      </c>
      <c r="G13" s="105">
        <f>'Balance Sheet'!F10/'Balance Sheet'!F15</f>
        <v>2.0419703271741567</v>
      </c>
      <c r="H13" s="105">
        <f>'Balance Sheet'!G10/'Balance Sheet'!G15</f>
        <v>2.684003904334832</v>
      </c>
      <c r="I13" s="132"/>
      <c r="J13" s="132"/>
    </row>
    <row r="14" spans="5:10">
      <c r="E14" s="66" t="s">
        <v>93</v>
      </c>
      <c r="F14" s="105">
        <f>'Balance Sheet'!E17/'Balance Sheet'!E15</f>
        <v>0.62146367137335634</v>
      </c>
      <c r="G14" s="105">
        <f>'Balance Sheet'!F17/'Balance Sheet'!F15</f>
        <v>1.0419703271741565</v>
      </c>
      <c r="H14" s="105">
        <f>'Balance Sheet'!G17/'Balance Sheet'!G15</f>
        <v>1.6840039043348325</v>
      </c>
      <c r="I14" s="132"/>
      <c r="J14" s="132"/>
    </row>
    <row r="15" spans="5:10">
      <c r="E15" s="66" t="s">
        <v>94</v>
      </c>
      <c r="F15" s="105">
        <f>'Balance Sheet'!E10/'Balance Sheet'!E17</f>
        <v>2.6091045157798622</v>
      </c>
      <c r="G15" s="105">
        <f>'Balance Sheet'!F10/'Balance Sheet'!F17</f>
        <v>1.9597202280337667</v>
      </c>
      <c r="H15" s="105">
        <f>'Balance Sheet'!G10/'Balance Sheet'!G17</f>
        <v>1.5938228512569819</v>
      </c>
      <c r="I15" s="132"/>
      <c r="J15" s="132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0.92229412044786074</v>
      </c>
      <c r="G18" s="105">
        <f>'Balance Sheet'!F7/'Balance Sheet'!F10</f>
        <v>0.93960782810261811</v>
      </c>
      <c r="H18" s="105">
        <f>'Balance Sheet'!G7/'Balance Sheet'!G10</f>
        <v>0.94493575406429908</v>
      </c>
      <c r="I18" s="132"/>
      <c r="J18" s="132"/>
    </row>
    <row r="19" spans="5:10">
      <c r="E19" s="66" t="s">
        <v>96</v>
      </c>
      <c r="F19" s="105">
        <f>'Balance Sheet'!E7/'Balance Sheet'!E15</f>
        <v>1.4954664106274489</v>
      </c>
      <c r="G19" s="105">
        <f>'Balance Sheet'!F7/'Balance Sheet'!F15</f>
        <v>1.9186513041661017</v>
      </c>
      <c r="H19" s="105">
        <f>'Balance Sheet'!G7/'Balance Sheet'!G15</f>
        <v>2.5362112532541574</v>
      </c>
      <c r="I19" s="132"/>
      <c r="J19" s="132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topLeftCell="A7" workbookViewId="0">
      <selection activeCell="J35" sqref="J35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1" width="11.7109375" customWidth="1"/>
    <col min="12" max="12" width="23.5703125" customWidth="1"/>
    <col min="13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115</v>
      </c>
      <c r="C5" s="14">
        <v>50000</v>
      </c>
      <c r="G5" s="11" t="s">
        <v>9</v>
      </c>
      <c r="H5" s="16">
        <v>1</v>
      </c>
      <c r="I5" s="16">
        <v>2</v>
      </c>
      <c r="J5" s="119">
        <v>3</v>
      </c>
      <c r="M5" s="43"/>
      <c r="N5" s="43"/>
    </row>
    <row r="6" spans="2:14">
      <c r="B6" s="4" t="s">
        <v>121</v>
      </c>
      <c r="C6" s="14">
        <v>42500</v>
      </c>
      <c r="G6" s="4" t="str">
        <f>B5</f>
        <v>Senior Management</v>
      </c>
      <c r="H6" s="14">
        <f t="shared" ref="H6:H15" si="0">H18*C5</f>
        <v>50000</v>
      </c>
      <c r="I6" s="14">
        <f t="shared" ref="I6:I15" si="1">D58*I18</f>
        <v>51500</v>
      </c>
      <c r="J6" s="14">
        <f t="shared" ref="J6:J15" si="2">E58*J18</f>
        <v>53045</v>
      </c>
      <c r="M6" s="120"/>
      <c r="N6" s="120"/>
    </row>
    <row r="7" spans="2:14">
      <c r="B7" s="4" t="s">
        <v>128</v>
      </c>
      <c r="C7" s="14">
        <v>40000</v>
      </c>
      <c r="G7" s="4" t="str">
        <f>B6</f>
        <v>Operational Managers</v>
      </c>
      <c r="H7" s="14">
        <f t="shared" si="0"/>
        <v>42500</v>
      </c>
      <c r="I7" s="14">
        <f t="shared" si="1"/>
        <v>43775</v>
      </c>
      <c r="J7" s="14">
        <f t="shared" si="2"/>
        <v>45088.25</v>
      </c>
      <c r="M7" s="120"/>
      <c r="N7" s="120"/>
    </row>
    <row r="8" spans="2:14">
      <c r="B8" s="4" t="s">
        <v>129</v>
      </c>
      <c r="C8" s="14">
        <v>37500</v>
      </c>
      <c r="G8" s="4" t="str">
        <f>B7</f>
        <v>In Home Care Staff</v>
      </c>
      <c r="H8" s="14">
        <f t="shared" si="0"/>
        <v>80000</v>
      </c>
      <c r="I8" s="14">
        <f t="shared" si="1"/>
        <v>82400</v>
      </c>
      <c r="J8" s="14">
        <f t="shared" si="2"/>
        <v>84872</v>
      </c>
      <c r="M8" s="120"/>
      <c r="N8" s="120"/>
    </row>
    <row r="9" spans="2:14">
      <c r="B9" s="4" t="s">
        <v>122</v>
      </c>
      <c r="C9" s="14">
        <v>45000</v>
      </c>
      <c r="G9" s="4" t="str">
        <f>B8</f>
        <v>Support Staff</v>
      </c>
      <c r="H9" s="14">
        <f t="shared" si="0"/>
        <v>75000</v>
      </c>
      <c r="I9" s="14">
        <f t="shared" si="1"/>
        <v>77250</v>
      </c>
      <c r="J9" s="14">
        <f t="shared" si="2"/>
        <v>79567.5</v>
      </c>
      <c r="M9" s="120"/>
      <c r="N9" s="120"/>
    </row>
    <row r="10" spans="2:14">
      <c r="B10" s="4" t="s">
        <v>124</v>
      </c>
      <c r="C10" s="14">
        <v>0</v>
      </c>
      <c r="G10" s="4" t="str">
        <f>B9</f>
        <v>Administrative and Accounting Staff</v>
      </c>
      <c r="H10" s="14">
        <f t="shared" si="0"/>
        <v>45000</v>
      </c>
      <c r="I10" s="14">
        <f t="shared" si="1"/>
        <v>46350</v>
      </c>
      <c r="J10" s="14">
        <f t="shared" si="2"/>
        <v>47740.5</v>
      </c>
      <c r="M10" s="120"/>
      <c r="N10" s="120"/>
    </row>
    <row r="11" spans="2:14">
      <c r="B11" s="4" t="s">
        <v>133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20"/>
      <c r="N11" s="120"/>
    </row>
    <row r="12" spans="2:14">
      <c r="B12" s="4" t="s">
        <v>134</v>
      </c>
      <c r="C12" s="14">
        <v>0</v>
      </c>
      <c r="G12" s="4" t="str">
        <f>B30</f>
        <v>Postion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20"/>
      <c r="N12" s="120"/>
    </row>
    <row r="13" spans="2:14">
      <c r="B13" s="4" t="s">
        <v>135</v>
      </c>
      <c r="C13" s="14">
        <v>0</v>
      </c>
      <c r="G13" s="4" t="str">
        <f>B31</f>
        <v>Postion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20"/>
      <c r="N13" s="120"/>
    </row>
    <row r="14" spans="2:14">
      <c r="B14" s="4" t="s">
        <v>125</v>
      </c>
      <c r="C14" s="14">
        <v>0</v>
      </c>
      <c r="G14" s="4" t="str">
        <f>B32</f>
        <v>Postion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20"/>
      <c r="N14" s="120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20"/>
      <c r="N15" s="120"/>
    </row>
    <row r="16" spans="2:14">
      <c r="G16" s="10" t="s">
        <v>8</v>
      </c>
      <c r="H16" s="9">
        <f>SUM(H6:H15)</f>
        <v>292500</v>
      </c>
      <c r="I16" s="9">
        <f t="shared" ref="I16:J16" si="3">SUM(I6:I15)</f>
        <v>301275</v>
      </c>
      <c r="J16" s="9">
        <f t="shared" si="3"/>
        <v>310313.25</v>
      </c>
      <c r="M16" s="121"/>
      <c r="N16" s="121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Managers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In Home Care Staff</v>
      </c>
      <c r="H20" s="4">
        <f t="shared" si="4"/>
        <v>2</v>
      </c>
      <c r="I20" s="4">
        <f t="shared" si="5"/>
        <v>2</v>
      </c>
      <c r="J20" s="4">
        <f t="shared" si="6"/>
        <v>2</v>
      </c>
      <c r="M20" s="30"/>
      <c r="N20" s="30"/>
    </row>
    <row r="21" spans="2:20">
      <c r="G21" s="4" t="str">
        <f>G9</f>
        <v>Support Staff</v>
      </c>
      <c r="H21" s="4">
        <f t="shared" si="4"/>
        <v>2</v>
      </c>
      <c r="I21" s="4">
        <f t="shared" si="5"/>
        <v>2</v>
      </c>
      <c r="J21" s="4">
        <f t="shared" si="6"/>
        <v>2</v>
      </c>
      <c r="M21" s="30"/>
      <c r="N21" s="30"/>
      <c r="O21" s="117"/>
      <c r="P21" s="117"/>
      <c r="Q21" s="117"/>
      <c r="R21" s="117"/>
      <c r="S21" s="117"/>
      <c r="T21" s="117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and Accounting Staff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7"/>
      <c r="P22" s="117"/>
      <c r="Q22" s="117"/>
      <c r="R22" s="117"/>
      <c r="S22" s="117"/>
      <c r="T22" s="117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7"/>
      <c r="P23" s="117"/>
      <c r="Q23" s="117"/>
      <c r="R23" s="117"/>
      <c r="S23" s="117"/>
      <c r="T23" s="117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3"/>
      <c r="G24" s="4" t="str">
        <f t="shared" si="7"/>
        <v>Postion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7"/>
      <c r="P24" s="117"/>
      <c r="Q24" s="117"/>
      <c r="R24" s="117"/>
      <c r="S24" s="117"/>
      <c r="T24" s="117"/>
    </row>
    <row r="25" spans="2:20">
      <c r="B25" s="15" t="str">
        <f t="shared" ref="B25:B33" si="8">B6</f>
        <v>Operational Managers</v>
      </c>
      <c r="C25" s="5">
        <v>1</v>
      </c>
      <c r="D25" s="5">
        <v>1</v>
      </c>
      <c r="E25" s="5">
        <v>1</v>
      </c>
      <c r="G25" s="4" t="str">
        <f t="shared" si="7"/>
        <v>Postion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7"/>
      <c r="P25" s="117"/>
      <c r="Q25" s="117"/>
      <c r="R25" s="117"/>
      <c r="S25" s="117"/>
      <c r="T25" s="117"/>
    </row>
    <row r="26" spans="2:20">
      <c r="B26" s="15" t="str">
        <f t="shared" si="8"/>
        <v>In Home Care Staff</v>
      </c>
      <c r="C26" s="5">
        <v>2</v>
      </c>
      <c r="D26" s="5">
        <v>2</v>
      </c>
      <c r="E26" s="5">
        <v>2</v>
      </c>
      <c r="F26" s="143"/>
      <c r="G26" s="4" t="str">
        <f t="shared" si="7"/>
        <v>Postion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7"/>
      <c r="P26" s="117"/>
      <c r="Q26" s="117"/>
      <c r="R26" s="117"/>
      <c r="S26" s="117"/>
      <c r="T26" s="117"/>
    </row>
    <row r="27" spans="2:20">
      <c r="B27" s="15" t="str">
        <f t="shared" si="8"/>
        <v>Support Staff</v>
      </c>
      <c r="C27" s="5">
        <v>2</v>
      </c>
      <c r="D27" s="5">
        <v>2</v>
      </c>
      <c r="E27" s="5">
        <v>2</v>
      </c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7"/>
      <c r="P27" s="117"/>
      <c r="Q27" s="117"/>
      <c r="R27" s="117"/>
      <c r="S27" s="117"/>
      <c r="T27" s="117"/>
    </row>
    <row r="28" spans="2:20">
      <c r="B28" s="15" t="str">
        <f t="shared" si="8"/>
        <v>Administrative and Accounting Staff</v>
      </c>
      <c r="C28" s="5">
        <v>1</v>
      </c>
      <c r="D28" s="5">
        <v>1</v>
      </c>
      <c r="E28" s="5">
        <v>1</v>
      </c>
      <c r="F28" s="143"/>
      <c r="G28" s="10" t="s">
        <v>8</v>
      </c>
      <c r="H28" s="10">
        <f>SUM(H18:H27)</f>
        <v>7</v>
      </c>
      <c r="I28" s="10">
        <f t="shared" ref="I28:J28" si="9">SUM(I18:I27)</f>
        <v>7</v>
      </c>
      <c r="J28" s="10">
        <f t="shared" si="9"/>
        <v>7</v>
      </c>
      <c r="M28" s="30"/>
      <c r="N28" s="30"/>
      <c r="O28" s="117"/>
      <c r="P28" s="117"/>
      <c r="Q28" s="117"/>
      <c r="R28" s="117"/>
      <c r="S28" s="117"/>
      <c r="T28" s="117"/>
    </row>
    <row r="29" spans="2:20">
      <c r="B29" s="15" t="str">
        <f t="shared" si="8"/>
        <v>Position 6</v>
      </c>
      <c r="C29" s="5"/>
      <c r="D29" s="5"/>
      <c r="E29" s="5"/>
      <c r="O29" s="117"/>
      <c r="P29" s="117"/>
      <c r="Q29" s="117"/>
      <c r="R29" s="117"/>
      <c r="S29" s="117"/>
      <c r="T29" s="117"/>
    </row>
    <row r="30" spans="2:20">
      <c r="B30" s="15" t="str">
        <f t="shared" si="8"/>
        <v>Postion 7</v>
      </c>
      <c r="C30" s="5"/>
      <c r="D30" s="5"/>
      <c r="E30" s="5"/>
      <c r="K30" s="114"/>
      <c r="L30" s="114"/>
      <c r="M30" s="114"/>
      <c r="N30" s="114"/>
      <c r="O30" s="117"/>
      <c r="P30" s="117"/>
      <c r="Q30" s="117"/>
      <c r="R30" s="117"/>
      <c r="S30" s="117"/>
      <c r="T30" s="117"/>
    </row>
    <row r="31" spans="2:20">
      <c r="B31" s="15" t="str">
        <f t="shared" si="8"/>
        <v>Postion 8</v>
      </c>
      <c r="C31" s="5"/>
      <c r="D31" s="5"/>
      <c r="E31" s="5"/>
      <c r="K31" s="114"/>
      <c r="L31" s="114" t="str">
        <f>G6</f>
        <v>Senior Management</v>
      </c>
      <c r="M31" s="115">
        <f>J6/$J$16</f>
        <v>0.17094017094017094</v>
      </c>
      <c r="N31" s="114"/>
      <c r="O31" s="154"/>
      <c r="P31" s="117"/>
      <c r="Q31" s="117"/>
      <c r="R31" s="117"/>
      <c r="S31" s="117"/>
      <c r="T31" s="117"/>
    </row>
    <row r="32" spans="2:20">
      <c r="B32" s="15" t="str">
        <f t="shared" si="8"/>
        <v>Postion 9</v>
      </c>
      <c r="C32" s="5"/>
      <c r="D32" s="5"/>
      <c r="E32" s="5"/>
      <c r="F32" s="30"/>
      <c r="G32" s="30"/>
      <c r="K32" s="114"/>
      <c r="L32" s="114" t="str">
        <f>G7</f>
        <v>Operational Managers</v>
      </c>
      <c r="M32" s="115">
        <f>J7/$J$16</f>
        <v>0.14529914529914531</v>
      </c>
      <c r="N32" s="114"/>
      <c r="O32" s="154"/>
      <c r="P32" s="117"/>
      <c r="Q32" s="117"/>
      <c r="T32" s="117"/>
    </row>
    <row r="33" spans="2:20">
      <c r="B33" s="15" t="str">
        <f t="shared" si="8"/>
        <v>Position 10</v>
      </c>
      <c r="C33" s="5"/>
      <c r="D33" s="5"/>
      <c r="E33" s="5"/>
      <c r="F33" s="30"/>
      <c r="G33" s="30"/>
      <c r="K33" s="114"/>
      <c r="L33" s="114" t="str">
        <f>G8</f>
        <v>In Home Care Staff</v>
      </c>
      <c r="M33" s="115">
        <f>J8/$J$16</f>
        <v>0.27350427350427353</v>
      </c>
      <c r="N33" s="114"/>
      <c r="O33" s="154"/>
      <c r="P33" s="117"/>
      <c r="Q33" s="117"/>
      <c r="T33" s="117"/>
    </row>
    <row r="34" spans="2:20">
      <c r="F34" s="43"/>
      <c r="G34" s="43"/>
      <c r="K34" s="114"/>
      <c r="L34" s="114" t="str">
        <f>G9</f>
        <v>Support Staff</v>
      </c>
      <c r="M34" s="115">
        <f>J9/$J$16</f>
        <v>0.25641025641025639</v>
      </c>
      <c r="N34" s="114"/>
      <c r="O34" s="154"/>
      <c r="P34" s="117"/>
      <c r="Q34" s="117"/>
      <c r="T34" s="117"/>
    </row>
    <row r="35" spans="2:20">
      <c r="B35" s="7" t="s">
        <v>63</v>
      </c>
      <c r="C35" s="3"/>
      <c r="F35" s="43"/>
      <c r="G35" s="43"/>
      <c r="K35" s="114"/>
      <c r="L35" s="114" t="str">
        <f>G10</f>
        <v>Administrative and Accounting Staff</v>
      </c>
      <c r="M35" s="115">
        <f>J10/$J$16</f>
        <v>0.15384615384615385</v>
      </c>
      <c r="N35" s="114"/>
      <c r="O35" s="154"/>
      <c r="P35" s="117"/>
      <c r="Q35" s="117"/>
      <c r="T35" s="117"/>
    </row>
    <row r="36" spans="2:20">
      <c r="B36" s="4" t="s">
        <v>64</v>
      </c>
      <c r="C36" s="17">
        <v>0.03</v>
      </c>
      <c r="F36" s="43"/>
      <c r="G36" s="43"/>
      <c r="K36" s="114"/>
      <c r="L36" s="114" t="str">
        <f t="shared" ref="L36:L40" si="10">G11</f>
        <v>Position 6</v>
      </c>
      <c r="M36" s="115">
        <f t="shared" ref="M36:M40" si="11">J11/$J$16</f>
        <v>0</v>
      </c>
      <c r="N36" s="114"/>
      <c r="O36" s="154"/>
      <c r="P36" s="117"/>
      <c r="Q36" s="117"/>
      <c r="T36" s="117"/>
    </row>
    <row r="37" spans="2:20">
      <c r="F37" s="43"/>
      <c r="G37" s="43"/>
      <c r="K37" s="114"/>
      <c r="L37" s="114" t="str">
        <f t="shared" si="10"/>
        <v>Postion 7</v>
      </c>
      <c r="M37" s="115">
        <f t="shared" si="11"/>
        <v>0</v>
      </c>
      <c r="N37" s="114"/>
      <c r="O37" s="154"/>
      <c r="P37" s="117"/>
      <c r="Q37" s="117"/>
      <c r="R37" s="117"/>
      <c r="S37" s="118"/>
      <c r="T37" s="117"/>
    </row>
    <row r="38" spans="2:20">
      <c r="F38" s="43"/>
      <c r="G38" s="43"/>
      <c r="K38" s="114"/>
      <c r="L38" s="114" t="str">
        <f t="shared" si="10"/>
        <v>Postion 8</v>
      </c>
      <c r="M38" s="115">
        <f t="shared" si="11"/>
        <v>0</v>
      </c>
      <c r="N38" s="114"/>
      <c r="O38" s="154"/>
      <c r="Q38" s="114"/>
      <c r="R38" s="114"/>
      <c r="S38" s="115"/>
    </row>
    <row r="39" spans="2:20">
      <c r="F39" s="43"/>
      <c r="G39" s="43"/>
      <c r="K39" s="114"/>
      <c r="L39" s="114" t="str">
        <f t="shared" si="10"/>
        <v>Postion 9</v>
      </c>
      <c r="M39" s="115">
        <f t="shared" si="11"/>
        <v>0</v>
      </c>
      <c r="N39" s="114"/>
      <c r="O39" s="154"/>
      <c r="S39" s="113"/>
    </row>
    <row r="40" spans="2:20">
      <c r="F40" s="43"/>
      <c r="G40" s="43"/>
      <c r="K40" s="114"/>
      <c r="L40" s="114" t="str">
        <f t="shared" si="10"/>
        <v>Position 10</v>
      </c>
      <c r="M40" s="115">
        <f t="shared" si="11"/>
        <v>0</v>
      </c>
      <c r="N40" s="114"/>
      <c r="O40" s="154"/>
    </row>
    <row r="41" spans="2:20">
      <c r="F41" s="43"/>
      <c r="G41" s="43"/>
      <c r="K41" s="114"/>
      <c r="L41" s="114"/>
      <c r="M41" s="115"/>
      <c r="N41" s="114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50000</v>
      </c>
      <c r="D58" s="14">
        <f t="shared" ref="D58:G67" si="12">C58*(1+$C$36)</f>
        <v>51500</v>
      </c>
      <c r="E58" s="14">
        <f t="shared" si="12"/>
        <v>53045</v>
      </c>
      <c r="F58" s="14">
        <f t="shared" si="12"/>
        <v>54636.35</v>
      </c>
      <c r="G58" s="14">
        <f t="shared" si="12"/>
        <v>56275.440499999997</v>
      </c>
    </row>
    <row r="59" spans="2:7">
      <c r="B59" s="4" t="str">
        <f t="shared" ref="B59:C67" si="13">B6</f>
        <v>Operational Managers</v>
      </c>
      <c r="C59" s="14">
        <f t="shared" si="13"/>
        <v>42500</v>
      </c>
      <c r="D59" s="14">
        <f t="shared" si="12"/>
        <v>43775</v>
      </c>
      <c r="E59" s="14">
        <f t="shared" si="12"/>
        <v>45088.25</v>
      </c>
      <c r="F59" s="14">
        <f t="shared" si="12"/>
        <v>46440.897499999999</v>
      </c>
      <c r="G59" s="14">
        <f t="shared" si="12"/>
        <v>47834.124425000002</v>
      </c>
    </row>
    <row r="60" spans="2:7">
      <c r="B60" s="4" t="str">
        <f t="shared" si="13"/>
        <v>In Home Care Staff</v>
      </c>
      <c r="C60" s="14">
        <f t="shared" si="13"/>
        <v>40000</v>
      </c>
      <c r="D60" s="14">
        <f t="shared" si="12"/>
        <v>41200</v>
      </c>
      <c r="E60" s="14">
        <f t="shared" si="12"/>
        <v>42436</v>
      </c>
      <c r="F60" s="14">
        <f t="shared" si="12"/>
        <v>43709.08</v>
      </c>
      <c r="G60" s="14">
        <f t="shared" si="12"/>
        <v>45020.352400000003</v>
      </c>
    </row>
    <row r="61" spans="2:7">
      <c r="B61" s="4" t="str">
        <f t="shared" si="13"/>
        <v>Support Staff</v>
      </c>
      <c r="C61" s="14">
        <f t="shared" si="13"/>
        <v>37500</v>
      </c>
      <c r="D61" s="14">
        <f t="shared" si="12"/>
        <v>38625</v>
      </c>
      <c r="E61" s="14">
        <f t="shared" si="12"/>
        <v>39783.75</v>
      </c>
      <c r="F61" s="14">
        <f t="shared" si="12"/>
        <v>40977.262500000004</v>
      </c>
      <c r="G61" s="14">
        <f t="shared" si="12"/>
        <v>42206.580375000005</v>
      </c>
    </row>
    <row r="62" spans="2:7">
      <c r="B62" s="4" t="str">
        <f t="shared" si="13"/>
        <v>Administrative and Accounting Staff</v>
      </c>
      <c r="C62" s="14">
        <f t="shared" si="13"/>
        <v>45000</v>
      </c>
      <c r="D62" s="14">
        <f t="shared" si="12"/>
        <v>46350</v>
      </c>
      <c r="E62" s="14">
        <f t="shared" si="12"/>
        <v>47740.5</v>
      </c>
      <c r="F62" s="14">
        <f t="shared" si="12"/>
        <v>49172.715000000004</v>
      </c>
      <c r="G62" s="14">
        <f t="shared" si="12"/>
        <v>50647.896450000007</v>
      </c>
    </row>
    <row r="63" spans="2:7">
      <c r="B63" s="4" t="str">
        <f t="shared" si="13"/>
        <v>Position 6</v>
      </c>
      <c r="C63" s="14">
        <f t="shared" si="13"/>
        <v>0</v>
      </c>
      <c r="D63" s="14">
        <f t="shared" si="12"/>
        <v>0</v>
      </c>
      <c r="E63" s="14">
        <f t="shared" si="12"/>
        <v>0</v>
      </c>
      <c r="F63" s="14">
        <f t="shared" si="12"/>
        <v>0</v>
      </c>
      <c r="G63" s="14">
        <f t="shared" si="12"/>
        <v>0</v>
      </c>
    </row>
    <row r="64" spans="2:7">
      <c r="B64" s="4" t="str">
        <f t="shared" si="13"/>
        <v>Postion 7</v>
      </c>
      <c r="C64" s="14">
        <f t="shared" si="13"/>
        <v>0</v>
      </c>
      <c r="D64" s="14">
        <f t="shared" si="12"/>
        <v>0</v>
      </c>
      <c r="E64" s="14">
        <f t="shared" si="12"/>
        <v>0</v>
      </c>
      <c r="F64" s="14">
        <f t="shared" si="12"/>
        <v>0</v>
      </c>
      <c r="G64" s="14">
        <f t="shared" si="12"/>
        <v>0</v>
      </c>
    </row>
    <row r="65" spans="2:7">
      <c r="B65" s="4" t="str">
        <f t="shared" si="13"/>
        <v>Postion 8</v>
      </c>
      <c r="C65" s="14">
        <f t="shared" si="13"/>
        <v>0</v>
      </c>
      <c r="D65" s="14">
        <f t="shared" si="12"/>
        <v>0</v>
      </c>
      <c r="E65" s="14">
        <f t="shared" si="12"/>
        <v>0</v>
      </c>
      <c r="F65" s="14">
        <f t="shared" si="12"/>
        <v>0</v>
      </c>
      <c r="G65" s="14">
        <f t="shared" si="12"/>
        <v>0</v>
      </c>
    </row>
    <row r="66" spans="2:7">
      <c r="B66" s="4" t="str">
        <f t="shared" si="13"/>
        <v>Postion 9</v>
      </c>
      <c r="C66" s="14">
        <f t="shared" si="13"/>
        <v>0</v>
      </c>
      <c r="D66" s="14">
        <f t="shared" si="12"/>
        <v>0</v>
      </c>
      <c r="E66" s="14">
        <f t="shared" si="12"/>
        <v>0</v>
      </c>
      <c r="F66" s="14">
        <f t="shared" si="12"/>
        <v>0</v>
      </c>
      <c r="G66" s="14">
        <f t="shared" si="12"/>
        <v>0</v>
      </c>
    </row>
    <row r="67" spans="2:7">
      <c r="B67" s="4" t="str">
        <f t="shared" si="13"/>
        <v>Position 10</v>
      </c>
      <c r="C67" s="14">
        <f t="shared" si="13"/>
        <v>0</v>
      </c>
      <c r="D67" s="14">
        <f t="shared" si="12"/>
        <v>0</v>
      </c>
      <c r="E67" s="14">
        <f t="shared" si="12"/>
        <v>0</v>
      </c>
      <c r="F67" s="14">
        <f t="shared" si="12"/>
        <v>0</v>
      </c>
      <c r="G67" s="14">
        <f t="shared" si="12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L23" sqref="L23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9"/>
      <c r="J4" s="97" t="s">
        <v>9</v>
      </c>
      <c r="K4" s="98">
        <v>1</v>
      </c>
      <c r="L4" s="98">
        <v>2</v>
      </c>
      <c r="M4" s="102">
        <v>3</v>
      </c>
    </row>
    <row r="5" spans="5:13">
      <c r="E5" s="110" t="s">
        <v>55</v>
      </c>
      <c r="F5" s="111">
        <v>0</v>
      </c>
      <c r="G5" s="111">
        <f>Inputs!C46</f>
        <v>0.2</v>
      </c>
      <c r="H5" s="111">
        <f>Inputs!C47</f>
        <v>0.15</v>
      </c>
      <c r="I5" s="128"/>
      <c r="J5" s="110"/>
      <c r="K5" s="111"/>
      <c r="L5" s="111"/>
      <c r="M5" s="111"/>
    </row>
    <row r="6" spans="5:13">
      <c r="E6" s="94" t="str">
        <f>Inputs!B5</f>
        <v>Home Healthcare Services</v>
      </c>
      <c r="F6" s="94">
        <f>SUM(Inputs!C32:N32)</f>
        <v>421320</v>
      </c>
      <c r="G6" s="94">
        <f t="shared" ref="G6:H15" si="0">F6*(1+G$5)</f>
        <v>505584</v>
      </c>
      <c r="H6" s="94">
        <f t="shared" si="0"/>
        <v>581421.6</v>
      </c>
      <c r="I6" s="130"/>
      <c r="J6" s="94" t="str">
        <f>E6</f>
        <v>Home Healthcare Services</v>
      </c>
      <c r="K6" s="146">
        <f>F6/$F$16</f>
        <v>0.7407407407407407</v>
      </c>
      <c r="L6" s="146">
        <f>G6/$G$16</f>
        <v>0.7407407407407407</v>
      </c>
      <c r="M6" s="146">
        <f>H6/$H$16</f>
        <v>0.74074074074074081</v>
      </c>
    </row>
    <row r="7" spans="5:13">
      <c r="E7" s="94" t="str">
        <f>Inputs!B6</f>
        <v>Support and Ancillary Fees</v>
      </c>
      <c r="F7" s="94">
        <f>SUM(Inputs!C33:N33)</f>
        <v>147462</v>
      </c>
      <c r="G7" s="94">
        <f t="shared" si="0"/>
        <v>176954.4</v>
      </c>
      <c r="H7" s="94">
        <f t="shared" si="0"/>
        <v>203497.55999999997</v>
      </c>
      <c r="I7" s="130"/>
      <c r="J7" s="94" t="str">
        <f t="shared" ref="J7:J15" si="1">E7</f>
        <v>Support and Ancillary Fees</v>
      </c>
      <c r="K7" s="146">
        <f t="shared" ref="K7:K15" si="2">F7/$F$16</f>
        <v>0.25925925925925924</v>
      </c>
      <c r="L7" s="146">
        <f t="shared" ref="L7:L15" si="3">G7/$G$16</f>
        <v>0.25925925925925924</v>
      </c>
      <c r="M7" s="146">
        <f t="shared" ref="M7:M15" si="4">H7/$H$16</f>
        <v>0.25925925925925924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30"/>
      <c r="J8" s="94" t="str">
        <f t="shared" si="1"/>
        <v>Item 3</v>
      </c>
      <c r="K8" s="146">
        <f t="shared" si="2"/>
        <v>0</v>
      </c>
      <c r="L8" s="146">
        <f t="shared" si="3"/>
        <v>0</v>
      </c>
      <c r="M8" s="146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30"/>
      <c r="J9" s="94" t="str">
        <f t="shared" si="1"/>
        <v>Item 4</v>
      </c>
      <c r="K9" s="146">
        <f t="shared" si="2"/>
        <v>0</v>
      </c>
      <c r="L9" s="146">
        <f t="shared" si="3"/>
        <v>0</v>
      </c>
      <c r="M9" s="146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30"/>
      <c r="J10" s="94" t="str">
        <f t="shared" si="1"/>
        <v>Item 5</v>
      </c>
      <c r="K10" s="146">
        <f t="shared" si="2"/>
        <v>0</v>
      </c>
      <c r="L10" s="146">
        <f t="shared" si="3"/>
        <v>0</v>
      </c>
      <c r="M10" s="146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30"/>
      <c r="J11" s="94" t="str">
        <f t="shared" si="1"/>
        <v>Item 6</v>
      </c>
      <c r="K11" s="146">
        <f t="shared" si="2"/>
        <v>0</v>
      </c>
      <c r="L11" s="146">
        <f t="shared" si="3"/>
        <v>0</v>
      </c>
      <c r="M11" s="146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30"/>
      <c r="J12" s="94" t="str">
        <f t="shared" si="1"/>
        <v>Item 7</v>
      </c>
      <c r="K12" s="146">
        <f t="shared" si="2"/>
        <v>0</v>
      </c>
      <c r="L12" s="146">
        <f t="shared" si="3"/>
        <v>0</v>
      </c>
      <c r="M12" s="146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30"/>
      <c r="J13" s="94" t="str">
        <f t="shared" si="1"/>
        <v>Item 8</v>
      </c>
      <c r="K13" s="146">
        <f t="shared" si="2"/>
        <v>0</v>
      </c>
      <c r="L13" s="146">
        <f t="shared" si="3"/>
        <v>0</v>
      </c>
      <c r="M13" s="146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30"/>
      <c r="J14" s="94" t="str">
        <f t="shared" si="1"/>
        <v>Item 9</v>
      </c>
      <c r="K14" s="146">
        <f t="shared" si="2"/>
        <v>0</v>
      </c>
      <c r="L14" s="146">
        <f t="shared" si="3"/>
        <v>0</v>
      </c>
      <c r="M14" s="146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30"/>
      <c r="J15" s="94" t="str">
        <f t="shared" si="1"/>
        <v>Item 10</v>
      </c>
      <c r="K15" s="146">
        <f t="shared" si="2"/>
        <v>0</v>
      </c>
      <c r="L15" s="146">
        <f t="shared" si="3"/>
        <v>0</v>
      </c>
      <c r="M15" s="146">
        <f t="shared" si="4"/>
        <v>0</v>
      </c>
    </row>
    <row r="16" spans="5:13">
      <c r="E16" s="99" t="s">
        <v>8</v>
      </c>
      <c r="F16" s="99">
        <f>SUM(F6:F15)</f>
        <v>568782</v>
      </c>
      <c r="G16" s="99">
        <f>SUM(G6:G15)</f>
        <v>682538.4</v>
      </c>
      <c r="H16" s="99">
        <f>SUM(H6:H15)</f>
        <v>784919.15999999992</v>
      </c>
      <c r="I16" s="134"/>
      <c r="J16" s="145"/>
      <c r="K16" s="145"/>
      <c r="L16" s="145"/>
      <c r="M16" s="145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4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9"/>
      <c r="J19" s="63"/>
      <c r="K19" s="129"/>
      <c r="L19" s="129"/>
      <c r="M19" s="129"/>
    </row>
    <row r="20" spans="5:13">
      <c r="E20" s="110" t="s">
        <v>55</v>
      </c>
      <c r="F20" s="111">
        <v>0</v>
      </c>
      <c r="G20" s="111">
        <f>G5</f>
        <v>0.2</v>
      </c>
      <c r="H20" s="111">
        <f>H5</f>
        <v>0.15</v>
      </c>
      <c r="I20" s="128"/>
      <c r="K20" s="128"/>
      <c r="L20" s="128"/>
      <c r="M20" s="128"/>
    </row>
    <row r="21" spans="5:13">
      <c r="E21" s="94" t="str">
        <f>E6</f>
        <v>Home Healthcare Services</v>
      </c>
      <c r="F21" s="94">
        <f>SUM(Inputs!C51:N51)</f>
        <v>21066</v>
      </c>
      <c r="G21" s="94">
        <f t="shared" ref="G21:H30" si="5">F21*(1+G$20)</f>
        <v>25279.200000000001</v>
      </c>
      <c r="H21" s="94">
        <f t="shared" si="5"/>
        <v>29071.079999999998</v>
      </c>
      <c r="I21" s="130"/>
      <c r="J21" s="130"/>
      <c r="K21" s="130"/>
      <c r="L21" s="130"/>
      <c r="M21" s="130"/>
    </row>
    <row r="22" spans="5:13">
      <c r="E22" s="94" t="str">
        <f t="shared" ref="E22:E30" si="6">E7</f>
        <v>Support and Ancillary Fees</v>
      </c>
      <c r="F22" s="94">
        <f>SUM(Inputs!C52:N52)</f>
        <v>7373.1</v>
      </c>
      <c r="G22" s="94">
        <f t="shared" si="5"/>
        <v>8847.7199999999993</v>
      </c>
      <c r="H22" s="94">
        <f t="shared" si="5"/>
        <v>10174.877999999999</v>
      </c>
      <c r="I22" s="130"/>
      <c r="J22" s="130"/>
      <c r="K22" s="130"/>
      <c r="L22" s="130"/>
      <c r="M22" s="130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30"/>
      <c r="J23" s="130"/>
      <c r="K23" s="130"/>
      <c r="L23" s="130"/>
      <c r="M23" s="130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30"/>
      <c r="J24" s="130"/>
      <c r="K24" s="130"/>
      <c r="L24" s="130"/>
      <c r="M24" s="130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30"/>
      <c r="J25" s="130"/>
      <c r="K25" s="130"/>
      <c r="L25" s="130"/>
      <c r="M25" s="130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30"/>
      <c r="J26" s="130"/>
      <c r="K26" s="130"/>
      <c r="L26" s="130"/>
      <c r="M26" s="130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30"/>
      <c r="J27" s="130"/>
      <c r="K27" s="130"/>
      <c r="L27" s="130"/>
      <c r="M27" s="130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30"/>
      <c r="J28" s="130"/>
      <c r="K28" s="130"/>
      <c r="L28" s="130"/>
      <c r="M28" s="130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30"/>
      <c r="J29" s="130"/>
      <c r="K29" s="130"/>
      <c r="L29" s="130"/>
      <c r="M29" s="130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30"/>
      <c r="J30" s="130"/>
      <c r="K30" s="130"/>
      <c r="L30" s="130"/>
      <c r="M30" s="130"/>
    </row>
    <row r="31" spans="5:13">
      <c r="E31" s="100" t="s">
        <v>8</v>
      </c>
      <c r="F31" s="100">
        <f>SUM(F21:F30)</f>
        <v>28439.1</v>
      </c>
      <c r="G31" s="100">
        <f>SUM(G21:G30)</f>
        <v>34126.92</v>
      </c>
      <c r="H31" s="100">
        <f>SUM(H21:H30)</f>
        <v>39245.957999999999</v>
      </c>
      <c r="I31" s="130"/>
      <c r="J31" s="130"/>
      <c r="K31" s="130"/>
      <c r="L31" s="130"/>
      <c r="M31" s="130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P32" sqref="P32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117</v>
      </c>
      <c r="E6" s="6">
        <v>25000</v>
      </c>
    </row>
    <row r="7" spans="4:5">
      <c r="D7" s="21" t="s">
        <v>118</v>
      </c>
      <c r="E7" s="6">
        <v>50000</v>
      </c>
    </row>
    <row r="8" spans="4:5">
      <c r="D8" s="21" t="s">
        <v>116</v>
      </c>
      <c r="E8" s="6">
        <v>35000</v>
      </c>
    </row>
    <row r="9" spans="4:5">
      <c r="D9" s="21" t="s">
        <v>0</v>
      </c>
      <c r="E9" s="6">
        <v>65000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175000</v>
      </c>
    </row>
    <row r="20" spans="4:5">
      <c r="D20" s="7" t="s">
        <v>97</v>
      </c>
      <c r="E20" s="3"/>
    </row>
    <row r="21" spans="4:5">
      <c r="D21" s="4" t="s">
        <v>98</v>
      </c>
      <c r="E21" s="14">
        <v>50000</v>
      </c>
    </row>
    <row r="22" spans="4:5">
      <c r="D22" s="4" t="s">
        <v>99</v>
      </c>
      <c r="E22" s="14">
        <v>125000</v>
      </c>
    </row>
    <row r="23" spans="4:5">
      <c r="D23" s="4" t="s">
        <v>100</v>
      </c>
      <c r="E23" s="14">
        <f>SUM(E21:E22)</f>
        <v>175000</v>
      </c>
    </row>
    <row r="27" spans="4:5">
      <c r="D27" s="114"/>
    </row>
    <row r="28" spans="4:5">
      <c r="D28" s="123"/>
      <c r="E28" s="1"/>
    </row>
    <row r="29" spans="4:5">
      <c r="D29" s="123"/>
      <c r="E29" s="1"/>
    </row>
    <row r="30" spans="4:5">
      <c r="D30" s="123"/>
      <c r="E30" s="1"/>
    </row>
    <row r="31" spans="4:5">
      <c r="D31" s="123"/>
      <c r="E31" s="1"/>
    </row>
    <row r="32" spans="4:5">
      <c r="D32" s="123"/>
      <c r="E32" s="1"/>
    </row>
    <row r="33" spans="4:5">
      <c r="D33" s="123"/>
      <c r="E33" s="1"/>
    </row>
    <row r="34" spans="4:5">
      <c r="D34" s="123"/>
      <c r="E34" s="1"/>
    </row>
    <row r="35" spans="4:5">
      <c r="D35" s="123"/>
      <c r="E35" s="1"/>
    </row>
    <row r="36" spans="4:5">
      <c r="D36" s="123"/>
      <c r="E36" s="1"/>
    </row>
    <row r="37" spans="4:5">
      <c r="D37" s="123"/>
      <c r="E37" s="1"/>
    </row>
    <row r="38" spans="4:5">
      <c r="D38" s="124"/>
      <c r="E38" s="125"/>
    </row>
    <row r="40" spans="4:5">
      <c r="D40" s="114"/>
    </row>
    <row r="41" spans="4:5">
      <c r="D41" s="123"/>
      <c r="E41" s="1"/>
    </row>
    <row r="42" spans="4:5">
      <c r="D42" s="123"/>
      <c r="E42" s="1"/>
    </row>
    <row r="43" spans="4:5">
      <c r="D43" s="123"/>
      <c r="E43" s="1"/>
    </row>
    <row r="44" spans="4:5">
      <c r="D44" s="123"/>
      <c r="E44" s="1"/>
    </row>
    <row r="45" spans="4:5">
      <c r="D45" s="123"/>
      <c r="E45" s="1"/>
    </row>
    <row r="46" spans="4:5">
      <c r="D46" s="123"/>
      <c r="E46" s="1"/>
    </row>
    <row r="47" spans="4:5">
      <c r="D47" s="123"/>
      <c r="E47" s="1"/>
    </row>
    <row r="48" spans="4:5">
      <c r="D48" s="123"/>
      <c r="E48" s="1"/>
    </row>
    <row r="49" spans="4:5">
      <c r="D49" s="123"/>
      <c r="E49" s="1"/>
    </row>
    <row r="50" spans="4:5">
      <c r="D50" s="123"/>
      <c r="E50" s="1"/>
    </row>
    <row r="51" spans="4:5">
      <c r="D51" s="124"/>
      <c r="E51" s="12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topLeftCell="A3" workbookViewId="0">
      <selection activeCell="T32" sqref="T32"/>
    </sheetView>
  </sheetViews>
  <sheetFormatPr defaultRowHeight="15"/>
  <cols>
    <col min="4" max="4" width="27.71093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7"/>
      <c r="I5" s="13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</row>
    <row r="6" spans="4:21">
      <c r="D6" s="68" t="s">
        <v>51</v>
      </c>
      <c r="E6" s="69">
        <f>'Revenue Overview'!F16</f>
        <v>568782</v>
      </c>
      <c r="F6" s="69">
        <f>'Revenue Overview'!G16</f>
        <v>682538.4</v>
      </c>
      <c r="G6" s="81">
        <f>'Revenue Overview'!H16</f>
        <v>784919.15999999992</v>
      </c>
      <c r="H6" s="138"/>
      <c r="I6" s="138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</row>
    <row r="7" spans="4:21">
      <c r="D7" s="70" t="s">
        <v>52</v>
      </c>
      <c r="E7" s="71">
        <f>'Revenue Overview'!F31</f>
        <v>28439.1</v>
      </c>
      <c r="F7" s="71">
        <f>'Revenue Overview'!G31</f>
        <v>34126.92</v>
      </c>
      <c r="G7" s="80">
        <f>'Revenue Overview'!H31</f>
        <v>39245.957999999999</v>
      </c>
      <c r="H7" s="139"/>
      <c r="I7" s="139"/>
      <c r="J7" s="117"/>
      <c r="K7" s="114" t="s">
        <v>51</v>
      </c>
      <c r="L7" s="116">
        <f>E6</f>
        <v>568782</v>
      </c>
      <c r="M7" s="116">
        <f>F6</f>
        <v>682538.4</v>
      </c>
      <c r="N7" s="116">
        <f>G6</f>
        <v>784919.15999999992</v>
      </c>
      <c r="O7" s="116"/>
      <c r="P7" s="140"/>
      <c r="Q7" s="117"/>
      <c r="R7" s="117"/>
      <c r="S7" s="117"/>
      <c r="T7" s="117"/>
      <c r="U7" s="117"/>
    </row>
    <row r="8" spans="4:21">
      <c r="D8" s="72" t="s">
        <v>12</v>
      </c>
      <c r="E8" s="73">
        <f>1-(E7/E6)</f>
        <v>0.95</v>
      </c>
      <c r="F8" s="73">
        <f t="shared" ref="F8:G8" si="0">1-(F7/F6)</f>
        <v>0.95</v>
      </c>
      <c r="G8" s="136">
        <f t="shared" si="0"/>
        <v>0.95</v>
      </c>
      <c r="H8" s="141"/>
      <c r="I8" s="141"/>
      <c r="J8" s="117"/>
      <c r="K8" s="114" t="s">
        <v>76</v>
      </c>
      <c r="L8" s="116">
        <f>E6</f>
        <v>568782</v>
      </c>
      <c r="M8" s="116">
        <f>F6</f>
        <v>682538.4</v>
      </c>
      <c r="N8" s="116">
        <f>G6</f>
        <v>784919.15999999992</v>
      </c>
      <c r="O8" s="116"/>
      <c r="P8" s="140"/>
      <c r="Q8" s="117"/>
      <c r="R8" s="117"/>
      <c r="S8" s="117"/>
      <c r="T8" s="117"/>
      <c r="U8" s="117"/>
    </row>
    <row r="9" spans="4:21">
      <c r="D9" s="74"/>
      <c r="E9" s="74"/>
      <c r="F9" s="74"/>
      <c r="G9" s="74"/>
      <c r="H9" s="142"/>
      <c r="I9" s="142"/>
      <c r="J9" s="117"/>
      <c r="K9" s="114"/>
      <c r="L9" s="116"/>
      <c r="M9" s="116"/>
      <c r="N9" s="116"/>
      <c r="O9" s="116"/>
      <c r="P9" s="140"/>
      <c r="Q9" s="117"/>
      <c r="R9" s="117"/>
      <c r="S9" s="117"/>
      <c r="T9" s="117"/>
      <c r="U9" s="117"/>
    </row>
    <row r="10" spans="4:21">
      <c r="D10" s="75" t="s">
        <v>10</v>
      </c>
      <c r="E10" s="76">
        <f>E6-E7</f>
        <v>540342.9</v>
      </c>
      <c r="F10" s="76">
        <f t="shared" ref="F10:G10" si="1">F6-F7</f>
        <v>648411.48</v>
      </c>
      <c r="G10" s="84">
        <f t="shared" si="1"/>
        <v>745673.20199999993</v>
      </c>
      <c r="H10" s="138"/>
      <c r="I10" s="138"/>
      <c r="J10" s="117"/>
      <c r="K10" s="114" t="s">
        <v>47</v>
      </c>
      <c r="L10" s="116">
        <f>E23</f>
        <v>166015.90220000001</v>
      </c>
      <c r="M10" s="116">
        <f>F23</f>
        <v>257106.54514</v>
      </c>
      <c r="N10" s="116">
        <f>G23</f>
        <v>336955.41141100001</v>
      </c>
      <c r="O10" s="116"/>
      <c r="P10" s="140"/>
      <c r="Q10" s="117"/>
      <c r="R10" s="117"/>
      <c r="S10" s="117"/>
      <c r="T10" s="117"/>
      <c r="U10" s="117"/>
    </row>
    <row r="11" spans="4:21">
      <c r="D11" s="74"/>
      <c r="E11" s="74"/>
      <c r="F11" s="74"/>
      <c r="G11" s="74"/>
      <c r="H11" s="142"/>
      <c r="I11" s="142"/>
      <c r="J11" s="117"/>
      <c r="K11" s="114" t="s">
        <v>77</v>
      </c>
      <c r="L11" s="116">
        <f>L10</f>
        <v>166015.90220000001</v>
      </c>
      <c r="M11" s="116">
        <f t="shared" ref="M11:N11" si="2">M10</f>
        <v>257106.54514</v>
      </c>
      <c r="N11" s="116">
        <f t="shared" si="2"/>
        <v>336955.41141100001</v>
      </c>
      <c r="O11" s="116"/>
      <c r="P11" s="140"/>
      <c r="Q11" s="117"/>
      <c r="R11" s="117"/>
      <c r="S11" s="117"/>
      <c r="T11" s="117"/>
      <c r="U11" s="117"/>
    </row>
    <row r="12" spans="4:21">
      <c r="D12" s="74" t="s">
        <v>13</v>
      </c>
      <c r="E12" s="74"/>
      <c r="F12" s="74"/>
      <c r="G12" s="74"/>
      <c r="H12" s="142"/>
      <c r="I12" s="142"/>
      <c r="J12" s="117"/>
      <c r="K12" s="114"/>
      <c r="L12" s="114"/>
      <c r="M12" s="114"/>
      <c r="N12" s="114"/>
      <c r="O12" s="114"/>
      <c r="P12" s="117"/>
      <c r="Q12" s="117"/>
      <c r="R12" s="117"/>
      <c r="S12" s="117"/>
      <c r="T12" s="117"/>
      <c r="U12" s="117"/>
    </row>
    <row r="13" spans="4:21">
      <c r="D13" s="77" t="s">
        <v>53</v>
      </c>
      <c r="E13" s="78">
        <f>'Personnel - Editable'!H16</f>
        <v>292500</v>
      </c>
      <c r="F13" s="78">
        <f>'Personnel - Editable'!I16</f>
        <v>301275</v>
      </c>
      <c r="G13" s="78">
        <f>'Personnel - Editable'!J16</f>
        <v>310313.25</v>
      </c>
      <c r="H13" s="139"/>
      <c r="I13" s="139"/>
      <c r="J13" s="117"/>
      <c r="K13" s="114" t="s">
        <v>75</v>
      </c>
      <c r="L13" s="116">
        <f>E21</f>
        <v>374326.99780000001</v>
      </c>
      <c r="M13" s="116">
        <f>F21</f>
        <v>391304.93485999998</v>
      </c>
      <c r="N13" s="116">
        <f>G21</f>
        <v>408717.79058899992</v>
      </c>
      <c r="O13" s="116"/>
      <c r="P13" s="140"/>
      <c r="Q13" s="117"/>
      <c r="R13" s="117"/>
      <c r="S13" s="117"/>
      <c r="T13" s="117"/>
      <c r="U13" s="117"/>
    </row>
    <row r="14" spans="4:21">
      <c r="D14" s="79" t="str">
        <f>Inputs!B18</f>
        <v>Facility Costs</v>
      </c>
      <c r="E14" s="80">
        <f>Inputs!C18</f>
        <v>12500</v>
      </c>
      <c r="F14" s="80">
        <f>Inputs!D18</f>
        <v>12875</v>
      </c>
      <c r="G14" s="80">
        <f>Inputs!E18</f>
        <v>13261.25</v>
      </c>
      <c r="H14" s="139"/>
      <c r="I14" s="139"/>
      <c r="J14" s="117"/>
      <c r="K14" s="114" t="s">
        <v>78</v>
      </c>
      <c r="L14" s="116">
        <f>E21</f>
        <v>374326.99780000001</v>
      </c>
      <c r="M14" s="116">
        <f>F21</f>
        <v>391304.93485999998</v>
      </c>
      <c r="N14" s="116">
        <f>G21</f>
        <v>408717.79058899992</v>
      </c>
      <c r="O14" s="116"/>
      <c r="P14" s="140"/>
      <c r="Q14" s="117"/>
      <c r="R14" s="117"/>
      <c r="S14" s="117"/>
      <c r="T14" s="117"/>
      <c r="U14" s="117"/>
    </row>
    <row r="15" spans="4:21">
      <c r="D15" s="106" t="str">
        <f>Inputs!B19</f>
        <v>General and Administrative</v>
      </c>
      <c r="E15" s="78">
        <f>Inputs!C19</f>
        <v>8929.8773999999994</v>
      </c>
      <c r="F15" s="78">
        <f>Inputs!D19</f>
        <v>10715.85288</v>
      </c>
      <c r="G15" s="78">
        <f>Inputs!E19</f>
        <v>12323.230811999998</v>
      </c>
      <c r="H15" s="139"/>
      <c r="I15" s="139"/>
      <c r="J15" s="117"/>
      <c r="K15" s="114"/>
      <c r="L15" s="114"/>
      <c r="M15" s="114"/>
      <c r="N15" s="114"/>
      <c r="O15" s="114"/>
      <c r="P15" s="117"/>
      <c r="Q15" s="117"/>
      <c r="R15" s="117"/>
      <c r="S15" s="117"/>
      <c r="T15" s="117"/>
      <c r="U15" s="117"/>
    </row>
    <row r="16" spans="4:21">
      <c r="D16" s="79" t="str">
        <f>Inputs!B20</f>
        <v>Equipment Costs</v>
      </c>
      <c r="E16" s="80">
        <f>Inputs!C20</f>
        <v>8645.4863999999998</v>
      </c>
      <c r="F16" s="80">
        <f>Inputs!D20</f>
        <v>10374.58368</v>
      </c>
      <c r="G16" s="80">
        <f>Inputs!E20</f>
        <v>11930.771231999999</v>
      </c>
      <c r="H16" s="139"/>
      <c r="I16" s="139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</row>
    <row r="17" spans="4:21">
      <c r="D17" s="106" t="str">
        <f>Inputs!B21</f>
        <v>Insurance Costs</v>
      </c>
      <c r="E17" s="78">
        <f>Inputs!C21</f>
        <v>17550</v>
      </c>
      <c r="F17" s="78">
        <f>Inputs!D21</f>
        <v>18076.5</v>
      </c>
      <c r="G17" s="78">
        <f>Inputs!E21</f>
        <v>18618.794999999998</v>
      </c>
      <c r="H17" s="139"/>
      <c r="I17" s="139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</row>
    <row r="18" spans="4:21">
      <c r="D18" s="79" t="str">
        <f>Inputs!B22</f>
        <v>Marketing</v>
      </c>
      <c r="E18" s="80">
        <f>Inputs!C22</f>
        <v>6825.384</v>
      </c>
      <c r="F18" s="80">
        <f>Inputs!D22</f>
        <v>8190.4608000000007</v>
      </c>
      <c r="G18" s="80">
        <f>Inputs!E22</f>
        <v>9419.029919999999</v>
      </c>
      <c r="H18" s="139"/>
      <c r="I18" s="139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</row>
    <row r="19" spans="4:21">
      <c r="D19" s="106" t="str">
        <f>Inputs!B23</f>
        <v>Professional Fees and Licensure</v>
      </c>
      <c r="E19" s="78">
        <f>Inputs!C23</f>
        <v>5000</v>
      </c>
      <c r="F19" s="78">
        <f>Inputs!D23</f>
        <v>6750</v>
      </c>
      <c r="G19" s="78">
        <f>Inputs!E23</f>
        <v>9112.5</v>
      </c>
      <c r="H19" s="139"/>
      <c r="I19" s="139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</row>
    <row r="20" spans="4:21">
      <c r="D20" s="79" t="s">
        <v>14</v>
      </c>
      <c r="E20" s="80">
        <f>E13*'Tax Assumptions '!F9</f>
        <v>22376.25</v>
      </c>
      <c r="F20" s="80">
        <f>F13*'Tax Assumptions '!G9</f>
        <v>23047.537499999999</v>
      </c>
      <c r="G20" s="80">
        <f>G13*'Tax Assumptions '!H9</f>
        <v>23738.963625</v>
      </c>
      <c r="H20" s="139"/>
      <c r="I20" s="139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</row>
    <row r="21" spans="4:21">
      <c r="D21" s="68" t="s">
        <v>75</v>
      </c>
      <c r="E21" s="81">
        <f>SUM(E13:E20)</f>
        <v>374326.99780000001</v>
      </c>
      <c r="F21" s="81">
        <f t="shared" ref="F21:G21" si="3">SUM(F13:F20)</f>
        <v>391304.93485999998</v>
      </c>
      <c r="G21" s="81">
        <f t="shared" si="3"/>
        <v>408717.79058899992</v>
      </c>
      <c r="H21" s="138"/>
      <c r="I21" s="138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</row>
    <row r="22" spans="4:21">
      <c r="D22" s="74"/>
      <c r="E22" s="74"/>
      <c r="F22" s="74"/>
      <c r="G22" s="74"/>
      <c r="H22" s="142"/>
      <c r="I22" s="142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</row>
    <row r="23" spans="4:21">
      <c r="D23" s="82" t="s">
        <v>47</v>
      </c>
      <c r="E23" s="83">
        <f>E10-E21</f>
        <v>166015.90220000001</v>
      </c>
      <c r="F23" s="83">
        <f t="shared" ref="F23:G23" si="4">F10-F21</f>
        <v>257106.54514</v>
      </c>
      <c r="G23" s="83">
        <f t="shared" si="4"/>
        <v>336955.41141100001</v>
      </c>
      <c r="H23" s="138"/>
      <c r="I23" s="138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</row>
    <row r="24" spans="4:21">
      <c r="D24" s="72" t="s">
        <v>15</v>
      </c>
      <c r="E24" s="78">
        <f>(E23-E26-E27)*'Tax Assumptions '!F7</f>
        <v>36887.355776191856</v>
      </c>
      <c r="F24" s="78">
        <f>(F23-F26-F27)*'Tax Assumptions '!G7</f>
        <v>59821.761822256689</v>
      </c>
      <c r="G24" s="78">
        <f>(G23-G26-G27)*'Tax Assumptions '!H7</f>
        <v>79957.416282686521</v>
      </c>
      <c r="H24" s="139"/>
      <c r="I24" s="139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</row>
    <row r="25" spans="4:21">
      <c r="D25" s="70" t="s">
        <v>102</v>
      </c>
      <c r="E25" s="80">
        <f>(E23-E26-E27)*'Tax Assumptions '!F8</f>
        <v>7377.4711552383715</v>
      </c>
      <c r="F25" s="80">
        <f>(F23-F26-F27)*'Tax Assumptions '!G8</f>
        <v>11964.352364451339</v>
      </c>
      <c r="G25" s="80">
        <f>(G23-G26-G27)*'Tax Assumptions '!H8</f>
        <v>15991.483256537305</v>
      </c>
      <c r="H25" s="139"/>
      <c r="I25" s="139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</row>
    <row r="26" spans="4:21">
      <c r="D26" s="72" t="s">
        <v>16</v>
      </c>
      <c r="E26" s="78">
        <f>SUM('Loan Amortization Table'!D14:D25)</f>
        <v>8466.4790952325857</v>
      </c>
      <c r="F26" s="78">
        <f>SUM('Loan Amortization Table'!D26:D37)</f>
        <v>7819.4978509732455</v>
      </c>
      <c r="G26" s="78">
        <f>SUM('Loan Amortization Table'!D38:D49)</f>
        <v>7125.7462802539276</v>
      </c>
      <c r="H26" s="130"/>
      <c r="I26" s="130"/>
    </row>
    <row r="27" spans="4:21">
      <c r="D27" s="70" t="s">
        <v>54</v>
      </c>
      <c r="E27" s="80">
        <v>10000</v>
      </c>
      <c r="F27" s="80">
        <v>10000</v>
      </c>
      <c r="G27" s="80">
        <v>10000</v>
      </c>
      <c r="H27" s="130"/>
      <c r="I27" s="130"/>
    </row>
    <row r="28" spans="4:21">
      <c r="D28" s="82" t="s">
        <v>17</v>
      </c>
      <c r="E28" s="83">
        <f>E23-SUM(E24:E27)</f>
        <v>103284.5961733372</v>
      </c>
      <c r="F28" s="83">
        <f t="shared" ref="F28:G28" si="5">F23-SUM(F24:F27)</f>
        <v>167500.93310231873</v>
      </c>
      <c r="G28" s="83">
        <f t="shared" si="5"/>
        <v>223880.76559152227</v>
      </c>
      <c r="H28" s="134"/>
      <c r="I28" s="134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9"/>
      <c r="I31" s="129"/>
      <c r="K31" s="1"/>
      <c r="L31" s="1"/>
      <c r="M31" s="1"/>
    </row>
    <row r="32" spans="4:21">
      <c r="D32" s="68" t="s">
        <v>51</v>
      </c>
      <c r="E32" s="69">
        <f>E6</f>
        <v>568782</v>
      </c>
      <c r="F32" s="69">
        <f t="shared" ref="F32:G32" si="6">F6</f>
        <v>682538.4</v>
      </c>
      <c r="G32" s="81">
        <f t="shared" si="6"/>
        <v>784919.15999999992</v>
      </c>
      <c r="H32" s="134"/>
      <c r="I32" s="134"/>
    </row>
    <row r="33" spans="4:13">
      <c r="D33" s="70" t="s">
        <v>52</v>
      </c>
      <c r="E33" s="71">
        <f>E7</f>
        <v>28439.1</v>
      </c>
      <c r="F33" s="71">
        <f t="shared" ref="F33:G33" si="7">F7</f>
        <v>34126.92</v>
      </c>
      <c r="G33" s="80">
        <f t="shared" si="7"/>
        <v>39245.957999999999</v>
      </c>
      <c r="H33" s="130"/>
      <c r="I33" s="130"/>
    </row>
    <row r="34" spans="4:13">
      <c r="D34" s="68" t="s">
        <v>10</v>
      </c>
      <c r="E34" s="69">
        <f>E10</f>
        <v>540342.9</v>
      </c>
      <c r="F34" s="69">
        <f t="shared" ref="F34:G34" si="8">F10</f>
        <v>648411.48</v>
      </c>
      <c r="G34" s="81">
        <f t="shared" si="8"/>
        <v>745673.20199999993</v>
      </c>
      <c r="H34" s="134"/>
      <c r="I34" s="134"/>
      <c r="K34" s="1"/>
      <c r="L34" s="1"/>
      <c r="M34" s="1"/>
    </row>
    <row r="35" spans="4:13">
      <c r="D35" s="75" t="s">
        <v>13</v>
      </c>
      <c r="E35" s="84">
        <f>E21</f>
        <v>374326.99780000001</v>
      </c>
      <c r="F35" s="84">
        <f t="shared" ref="F35:G35" si="9">F21</f>
        <v>391304.93485999998</v>
      </c>
      <c r="G35" s="84">
        <f t="shared" si="9"/>
        <v>408717.79058899992</v>
      </c>
      <c r="H35" s="134"/>
      <c r="I35" s="134"/>
    </row>
    <row r="36" spans="4:13">
      <c r="D36" s="82" t="s">
        <v>47</v>
      </c>
      <c r="E36" s="83">
        <f>E23</f>
        <v>166015.90220000001</v>
      </c>
      <c r="F36" s="83">
        <f t="shared" ref="F36:G36" si="10">F23</f>
        <v>257106.54514</v>
      </c>
      <c r="G36" s="83">
        <f t="shared" si="10"/>
        <v>336955.41141100001</v>
      </c>
      <c r="H36" s="134"/>
      <c r="I36" s="134"/>
    </row>
    <row r="38" spans="4:13">
      <c r="D38" s="117"/>
      <c r="E38" s="117"/>
      <c r="F38" s="117"/>
      <c r="G38" s="117"/>
    </row>
    <row r="39" spans="4:13">
      <c r="D39" s="117"/>
      <c r="E39" s="117"/>
      <c r="F39" s="117"/>
      <c r="G39" s="117"/>
    </row>
    <row r="40" spans="4:13">
      <c r="D40" s="117"/>
      <c r="E40" s="117"/>
      <c r="F40" s="117"/>
      <c r="G40" s="117"/>
    </row>
    <row r="41" spans="4:13">
      <c r="D41" s="117"/>
      <c r="E41" s="117"/>
      <c r="F41" s="117"/>
      <c r="G41" s="117"/>
    </row>
    <row r="42" spans="4:13">
      <c r="D42" s="117"/>
      <c r="E42" s="117"/>
      <c r="F42" s="117"/>
      <c r="G42" s="117"/>
    </row>
    <row r="43" spans="4:13">
      <c r="D43" s="117"/>
      <c r="E43" s="117"/>
      <c r="F43" s="117"/>
      <c r="G43" s="117"/>
    </row>
    <row r="44" spans="4:13">
      <c r="D44" s="117"/>
      <c r="E44" s="117"/>
      <c r="F44" s="117"/>
      <c r="G44" s="117"/>
    </row>
    <row r="45" spans="4:13">
      <c r="D45" s="117"/>
      <c r="E45" s="117"/>
      <c r="F45" s="117"/>
      <c r="G45" s="117"/>
    </row>
    <row r="46" spans="4:13">
      <c r="D46" s="117"/>
      <c r="E46" s="117"/>
      <c r="F46" s="117"/>
      <c r="G46" s="117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W12" sqref="W12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9"/>
      <c r="I5" s="129"/>
    </row>
    <row r="6" spans="4:9">
      <c r="D6" s="68" t="s">
        <v>67</v>
      </c>
      <c r="E6" s="81">
        <f>'Profit and Loss Statement'!E28+'Profit and Loss Statement'!E27</f>
        <v>113284.5961733372</v>
      </c>
      <c r="F6" s="81">
        <f>'Profit and Loss Statement'!F28+'Profit and Loss Statement'!F27</f>
        <v>177500.93310231873</v>
      </c>
      <c r="G6" s="81">
        <f>'Profit and Loss Statement'!G28+'Profit and Loss Statement'!G27</f>
        <v>233880.76559152227</v>
      </c>
      <c r="H6" s="134"/>
      <c r="I6" s="134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50000</v>
      </c>
      <c r="F9" s="87">
        <v>0</v>
      </c>
      <c r="G9" s="87">
        <v>0</v>
      </c>
      <c r="H9" s="133"/>
      <c r="I9" s="133"/>
    </row>
    <row r="10" spans="4:9">
      <c r="D10" s="70" t="s">
        <v>21</v>
      </c>
      <c r="E10" s="88">
        <f>'Use of Funds'!E22</f>
        <v>125000</v>
      </c>
      <c r="F10" s="88">
        <v>0</v>
      </c>
      <c r="G10" s="88">
        <v>0</v>
      </c>
      <c r="H10" s="133"/>
      <c r="I10" s="133"/>
    </row>
    <row r="11" spans="4:9">
      <c r="D11" s="72" t="s">
        <v>22</v>
      </c>
      <c r="E11" s="78">
        <v>10000</v>
      </c>
      <c r="F11" s="78">
        <f>E11*1.02</f>
        <v>10200</v>
      </c>
      <c r="G11" s="78">
        <f>F11*1.02</f>
        <v>10404</v>
      </c>
      <c r="H11" s="130"/>
      <c r="I11" s="130"/>
    </row>
    <row r="12" spans="4:9">
      <c r="D12" s="75" t="s">
        <v>23</v>
      </c>
      <c r="E12" s="89">
        <f>SUM(E9:E11)</f>
        <v>185000</v>
      </c>
      <c r="F12" s="89">
        <f t="shared" ref="F12:G12" si="0">SUM(F9:F11)</f>
        <v>10200</v>
      </c>
      <c r="G12" s="89">
        <f t="shared" si="0"/>
        <v>10404</v>
      </c>
      <c r="H12" s="135"/>
      <c r="I12" s="135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298284.5961733372</v>
      </c>
      <c r="F15" s="90">
        <f t="shared" ref="F15:G15" si="1">F12+F6</f>
        <v>187700.93310231873</v>
      </c>
      <c r="G15" s="90">
        <f t="shared" si="1"/>
        <v>244284.76559152227</v>
      </c>
      <c r="H15" s="135"/>
      <c r="I15" s="135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8949.7927875610221</v>
      </c>
      <c r="F18" s="80">
        <f>SUM('Loan Amortization Table'!C26:C37)</f>
        <v>9596.7740318203614</v>
      </c>
      <c r="G18" s="80">
        <f>SUM('Loan Amortization Table'!C38:C49)</f>
        <v>10290.525602539681</v>
      </c>
      <c r="H18" s="130"/>
      <c r="I18" s="130"/>
    </row>
    <row r="19" spans="4:9">
      <c r="D19" s="72" t="s">
        <v>25</v>
      </c>
      <c r="E19" s="78">
        <f>E11*0.7</f>
        <v>7000</v>
      </c>
      <c r="F19" s="78">
        <f t="shared" ref="F19:G19" si="2">F11*0.7</f>
        <v>7140</v>
      </c>
      <c r="G19" s="78">
        <f t="shared" si="2"/>
        <v>7282.7999999999993</v>
      </c>
      <c r="H19" s="130"/>
      <c r="I19" s="130"/>
    </row>
    <row r="20" spans="4:9">
      <c r="D20" s="70" t="s">
        <v>33</v>
      </c>
      <c r="E20" s="80">
        <f>'Use of Funds'!$E$6</f>
        <v>25000</v>
      </c>
      <c r="F20" s="80">
        <f>F6*0.05</f>
        <v>8875.046655115937</v>
      </c>
      <c r="G20" s="80">
        <f>G6*0.05</f>
        <v>11694.038279576114</v>
      </c>
      <c r="H20" s="130"/>
      <c r="I20" s="130"/>
    </row>
    <row r="21" spans="4:9">
      <c r="D21" s="72" t="s">
        <v>32</v>
      </c>
      <c r="E21" s="78">
        <f>E6*0.7</f>
        <v>79299.217321336037</v>
      </c>
      <c r="F21" s="78">
        <f t="shared" ref="F21:G21" si="3">F6*0.7</f>
        <v>124250.6531716231</v>
      </c>
      <c r="G21" s="78">
        <f t="shared" si="3"/>
        <v>163716.53591406558</v>
      </c>
      <c r="H21" s="130"/>
      <c r="I21" s="130"/>
    </row>
    <row r="22" spans="4:9">
      <c r="D22" s="75" t="s">
        <v>26</v>
      </c>
      <c r="E22" s="84">
        <f>SUM(E18:E21)</f>
        <v>120249.01010889706</v>
      </c>
      <c r="F22" s="84">
        <f t="shared" ref="F22:G22" si="4">SUM(F18:F21)</f>
        <v>149862.47385855939</v>
      </c>
      <c r="G22" s="84">
        <f t="shared" si="4"/>
        <v>192983.89979618136</v>
      </c>
      <c r="H22" s="134"/>
      <c r="I22" s="134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178035.58606444014</v>
      </c>
      <c r="F24" s="91">
        <f t="shared" ref="F24:G24" si="5">F15-F22</f>
        <v>37838.459243759338</v>
      </c>
      <c r="G24" s="91">
        <f t="shared" si="5"/>
        <v>51300.865795340913</v>
      </c>
      <c r="H24" s="135"/>
      <c r="I24" s="135"/>
    </row>
    <row r="25" spans="4:9">
      <c r="D25" s="82" t="s">
        <v>6</v>
      </c>
      <c r="E25" s="91">
        <f>E24</f>
        <v>178035.58606444014</v>
      </c>
      <c r="F25" s="91">
        <f>E25+F24</f>
        <v>215874.04530819948</v>
      </c>
      <c r="G25" s="91">
        <f>F25+G24</f>
        <v>267174.91110354039</v>
      </c>
      <c r="H25" s="135"/>
      <c r="I25" s="135"/>
    </row>
    <row r="28" spans="4:9">
      <c r="D28" s="114" t="s">
        <v>79</v>
      </c>
      <c r="E28" s="116">
        <f>E6</f>
        <v>113284.5961733372</v>
      </c>
      <c r="F28" s="116">
        <f t="shared" ref="F28:G28" si="6">F6</f>
        <v>177500.93310231873</v>
      </c>
      <c r="G28" s="116">
        <f t="shared" si="6"/>
        <v>233880.76559152227</v>
      </c>
      <c r="H28" s="1"/>
      <c r="I28" s="1"/>
    </row>
    <row r="29" spans="4:9">
      <c r="D29" s="114" t="s">
        <v>80</v>
      </c>
      <c r="E29" s="116">
        <f>E18</f>
        <v>8949.7927875610221</v>
      </c>
      <c r="F29" s="116">
        <f t="shared" ref="F29:G29" si="7">F18</f>
        <v>9596.7740318203614</v>
      </c>
      <c r="G29" s="116">
        <f t="shared" si="7"/>
        <v>10290.525602539681</v>
      </c>
      <c r="H29" s="1"/>
      <c r="I29" s="1"/>
    </row>
    <row r="30" spans="4:9">
      <c r="D30" s="114" t="s">
        <v>81</v>
      </c>
      <c r="E30" s="116">
        <f>E21</f>
        <v>79299.217321336037</v>
      </c>
      <c r="F30" s="116">
        <f t="shared" ref="F30:G30" si="8">F21</f>
        <v>124250.6531716231</v>
      </c>
      <c r="G30" s="116">
        <f t="shared" si="8"/>
        <v>163716.53591406558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S18" sqref="S18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9"/>
      <c r="I5" s="129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178035.58606444014</v>
      </c>
      <c r="F7" s="78">
        <f>'Cash Flow Analysis'!F25</f>
        <v>215874.04530819948</v>
      </c>
      <c r="G7" s="78">
        <f>'Cash Flow Analysis'!G25</f>
        <v>267174.91110354039</v>
      </c>
      <c r="H7" s="130"/>
      <c r="I7" s="130"/>
    </row>
    <row r="8" spans="4:9">
      <c r="D8" s="66" t="s">
        <v>126</v>
      </c>
      <c r="E8" s="94">
        <f>'Cash Flow Analysis'!E20</f>
        <v>25000</v>
      </c>
      <c r="F8" s="94">
        <f>E8+'Cash Flow Analysis'!F20</f>
        <v>33875.046655115933</v>
      </c>
      <c r="G8" s="94">
        <f>F8+'Cash Flow Analysis'!G20</f>
        <v>45569.084934692044</v>
      </c>
      <c r="H8" s="130"/>
      <c r="I8" s="130"/>
    </row>
    <row r="9" spans="4:9">
      <c r="D9" s="72" t="s">
        <v>48</v>
      </c>
      <c r="E9" s="87">
        <f>-'Profit and Loss Statement'!E27</f>
        <v>-10000</v>
      </c>
      <c r="F9" s="87">
        <f>E9-'Profit and Loss Statement'!F27</f>
        <v>-20000</v>
      </c>
      <c r="G9" s="87">
        <f>F9-'Profit and Loss Statement'!G27</f>
        <v>-30000</v>
      </c>
      <c r="H9" s="133"/>
      <c r="I9" s="133"/>
    </row>
    <row r="10" spans="4:9">
      <c r="D10" s="95" t="s">
        <v>7</v>
      </c>
      <c r="E10" s="96">
        <f>SUM(E7:E9)</f>
        <v>193035.58606444014</v>
      </c>
      <c r="F10" s="96">
        <f t="shared" ref="F10:G10" si="0">SUM(F7:F9)</f>
        <v>229749.09196331541</v>
      </c>
      <c r="G10" s="96">
        <f t="shared" si="0"/>
        <v>282743.99603823246</v>
      </c>
      <c r="H10" s="134"/>
      <c r="I10" s="134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3000</v>
      </c>
      <c r="F13" s="78">
        <f>E13+('Cash Flow Analysis'!F11-'Cash Flow Analysis'!F19)</f>
        <v>6060</v>
      </c>
      <c r="G13" s="78">
        <f>F13+('Cash Flow Analysis'!G11-'Cash Flow Analysis'!G19)</f>
        <v>9181.2000000000007</v>
      </c>
      <c r="H13" s="130"/>
      <c r="I13" s="130"/>
    </row>
    <row r="14" spans="4:9">
      <c r="D14" s="66" t="s">
        <v>73</v>
      </c>
      <c r="E14" s="94">
        <f>'Loan Amortization Table'!E25</f>
        <v>116050.20721243898</v>
      </c>
      <c r="F14" s="94">
        <f>'Loan Amortization Table'!E37</f>
        <v>106453.43318061862</v>
      </c>
      <c r="G14" s="94">
        <f>'Loan Amortization Table'!E49</f>
        <v>96162.907578078943</v>
      </c>
      <c r="H14" s="130"/>
      <c r="I14" s="130"/>
    </row>
    <row r="15" spans="4:9">
      <c r="D15" s="68" t="s">
        <v>30</v>
      </c>
      <c r="E15" s="81">
        <f>SUM(E13:E14)</f>
        <v>119050.20721243898</v>
      </c>
      <c r="F15" s="81">
        <f t="shared" ref="F15:G15" si="1">SUM(F13:F14)</f>
        <v>112513.43318061862</v>
      </c>
      <c r="G15" s="81">
        <f t="shared" si="1"/>
        <v>105344.10757807894</v>
      </c>
      <c r="H15" s="134"/>
      <c r="I15" s="134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73985.378852001159</v>
      </c>
      <c r="F17" s="83">
        <f t="shared" ref="F17:G17" si="2">F10-F15</f>
        <v>117235.65878269679</v>
      </c>
      <c r="G17" s="83">
        <f t="shared" si="2"/>
        <v>177399.88846015354</v>
      </c>
      <c r="H17" s="134"/>
      <c r="I17" s="134"/>
    </row>
    <row r="18" spans="4:9">
      <c r="D18" s="82" t="s">
        <v>31</v>
      </c>
      <c r="E18" s="83">
        <f>E15+E17</f>
        <v>193035.58606444014</v>
      </c>
      <c r="F18" s="83">
        <f t="shared" ref="F18:G18" si="3">F15+F17</f>
        <v>229749.09196331541</v>
      </c>
      <c r="G18" s="83">
        <f t="shared" si="3"/>
        <v>282743.99603823246</v>
      </c>
      <c r="H18" s="134"/>
      <c r="I18" s="134"/>
    </row>
    <row r="21" spans="4:9">
      <c r="D21" s="114" t="s">
        <v>82</v>
      </c>
      <c r="E21" s="116">
        <f>E10-1</f>
        <v>193034.58606444014</v>
      </c>
      <c r="F21" s="116">
        <f t="shared" ref="F21:G21" si="4">F10-1</f>
        <v>229748.09196331541</v>
      </c>
      <c r="G21" s="116">
        <f t="shared" si="4"/>
        <v>282742.99603823246</v>
      </c>
      <c r="H21" s="116">
        <f t="shared" ref="H21:I21" si="5">H10-1</f>
        <v>-1</v>
      </c>
      <c r="I21" s="116">
        <f t="shared" si="5"/>
        <v>-1</v>
      </c>
    </row>
    <row r="22" spans="4:9">
      <c r="D22" s="114" t="s">
        <v>83</v>
      </c>
      <c r="E22" s="116">
        <f>E15</f>
        <v>119050.20721243898</v>
      </c>
      <c r="F22" s="116">
        <f t="shared" ref="F22:G22" si="6">F15</f>
        <v>112513.43318061862</v>
      </c>
      <c r="G22" s="116">
        <f t="shared" si="6"/>
        <v>105344.10757807894</v>
      </c>
      <c r="H22" s="116">
        <f t="shared" ref="H22:I22" si="7">H15</f>
        <v>0</v>
      </c>
      <c r="I22" s="116">
        <f t="shared" si="7"/>
        <v>0</v>
      </c>
    </row>
    <row r="23" spans="4:9">
      <c r="D23" s="114" t="s">
        <v>84</v>
      </c>
      <c r="E23" s="116">
        <f>E17</f>
        <v>73985.378852001159</v>
      </c>
      <c r="F23" s="116">
        <f t="shared" ref="F23:G23" si="8">F17</f>
        <v>117235.65878269679</v>
      </c>
      <c r="G23" s="116">
        <f t="shared" si="8"/>
        <v>177399.88846015354</v>
      </c>
      <c r="H23" s="116">
        <f t="shared" ref="H23:I23" si="9">H17</f>
        <v>0</v>
      </c>
      <c r="I23" s="116">
        <f t="shared" si="9"/>
        <v>0</v>
      </c>
    </row>
    <row r="24" spans="4:9">
      <c r="D24" s="114"/>
      <c r="E24" s="116"/>
      <c r="F24" s="116"/>
      <c r="G24" s="116"/>
      <c r="H24" s="114"/>
      <c r="I24" s="114"/>
    </row>
    <row r="25" spans="4:9">
      <c r="D25" s="114"/>
      <c r="E25" s="116"/>
      <c r="F25" s="116"/>
      <c r="G25" s="116"/>
      <c r="H25" s="114"/>
      <c r="I25" s="114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S23" sqref="S23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47250</v>
      </c>
      <c r="D6" s="6">
        <f>Inputs!D42</f>
        <v>47277</v>
      </c>
      <c r="E6" s="6">
        <f>Inputs!E42</f>
        <v>47304</v>
      </c>
      <c r="F6" s="6">
        <f>Inputs!F42</f>
        <v>47331</v>
      </c>
      <c r="G6" s="6">
        <f>Inputs!G42</f>
        <v>47358</v>
      </c>
      <c r="H6" s="6">
        <f>Inputs!H42</f>
        <v>47385</v>
      </c>
      <c r="I6" s="6">
        <f>Inputs!I42</f>
        <v>47412</v>
      </c>
    </row>
    <row r="7" spans="2:9">
      <c r="B7" s="31" t="s">
        <v>52</v>
      </c>
      <c r="C7" s="6">
        <f>Inputs!C61</f>
        <v>2362.5</v>
      </c>
      <c r="D7" s="6">
        <f>Inputs!D61</f>
        <v>2363.85</v>
      </c>
      <c r="E7" s="6">
        <f>Inputs!E61</f>
        <v>2365.1999999999998</v>
      </c>
      <c r="F7" s="6">
        <f>Inputs!F61</f>
        <v>2366.5500000000002</v>
      </c>
      <c r="G7" s="6">
        <f>Inputs!G61</f>
        <v>2367.9</v>
      </c>
      <c r="H7" s="6">
        <f>Inputs!H61</f>
        <v>2369.25</v>
      </c>
      <c r="I7" s="6">
        <f>Inputs!I61</f>
        <v>2370.6</v>
      </c>
    </row>
    <row r="8" spans="2:9">
      <c r="B8" s="29" t="s">
        <v>12</v>
      </c>
      <c r="C8" s="17">
        <f>1-(C7/C6)</f>
        <v>0.95</v>
      </c>
      <c r="D8" s="17">
        <f t="shared" ref="D8:I8" si="1">1-(D7/D6)</f>
        <v>0.95</v>
      </c>
      <c r="E8" s="17">
        <f t="shared" si="1"/>
        <v>0.95</v>
      </c>
      <c r="F8" s="17">
        <f t="shared" si="1"/>
        <v>0.95</v>
      </c>
      <c r="G8" s="17">
        <f t="shared" si="1"/>
        <v>0.95</v>
      </c>
      <c r="H8" s="17">
        <f t="shared" si="1"/>
        <v>0.95</v>
      </c>
      <c r="I8" s="17">
        <f t="shared" si="1"/>
        <v>0.95</v>
      </c>
    </row>
    <row r="9" spans="2:9">
      <c r="B9" s="30"/>
    </row>
    <row r="10" spans="2:9">
      <c r="B10" s="37" t="s">
        <v>10</v>
      </c>
      <c r="C10" s="6">
        <f>C6-C7</f>
        <v>44887.5</v>
      </c>
      <c r="D10" s="6">
        <f t="shared" ref="D10:I10" si="2">D6-D7</f>
        <v>44913.15</v>
      </c>
      <c r="E10" s="6">
        <f t="shared" si="2"/>
        <v>44938.8</v>
      </c>
      <c r="F10" s="6">
        <f t="shared" si="2"/>
        <v>44964.45</v>
      </c>
      <c r="G10" s="6">
        <f t="shared" si="2"/>
        <v>44990.1</v>
      </c>
      <c r="H10" s="6">
        <f t="shared" si="2"/>
        <v>45015.75</v>
      </c>
      <c r="I10" s="6">
        <f t="shared" si="2"/>
        <v>45041.4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24375</v>
      </c>
      <c r="D13" s="6">
        <f t="shared" ref="D13:I13" si="3">$H$41/12</f>
        <v>24375</v>
      </c>
      <c r="E13" s="6">
        <f t="shared" si="3"/>
        <v>24375</v>
      </c>
      <c r="F13" s="6">
        <f t="shared" si="3"/>
        <v>24375</v>
      </c>
      <c r="G13" s="6">
        <f t="shared" si="3"/>
        <v>24375</v>
      </c>
      <c r="H13" s="6">
        <f t="shared" si="3"/>
        <v>24375</v>
      </c>
      <c r="I13" s="6">
        <f t="shared" si="3"/>
        <v>24375</v>
      </c>
    </row>
    <row r="14" spans="2:9">
      <c r="B14" s="33" t="str">
        <f>'Profit and Loss Statement'!D14</f>
        <v>Facility Costs</v>
      </c>
      <c r="C14" s="6">
        <f>$H$42/12</f>
        <v>1041.6666666666667</v>
      </c>
      <c r="D14" s="6">
        <f t="shared" ref="D14:I14" si="4">$H$42/12</f>
        <v>1041.6666666666667</v>
      </c>
      <c r="E14" s="6">
        <f t="shared" si="4"/>
        <v>1041.6666666666667</v>
      </c>
      <c r="F14" s="6">
        <f t="shared" si="4"/>
        <v>1041.6666666666667</v>
      </c>
      <c r="G14" s="6">
        <f t="shared" si="4"/>
        <v>1041.6666666666667</v>
      </c>
      <c r="H14" s="6">
        <f t="shared" si="4"/>
        <v>1041.6666666666667</v>
      </c>
      <c r="I14" s="6">
        <f t="shared" si="4"/>
        <v>1041.6666666666667</v>
      </c>
    </row>
    <row r="15" spans="2:9">
      <c r="B15" s="33" t="str">
        <f>'Profit and Loss Statement'!D15</f>
        <v>General and Administrative</v>
      </c>
      <c r="C15" s="6">
        <f>$H$43/12</f>
        <v>744.15644999999995</v>
      </c>
      <c r="D15" s="6">
        <f t="shared" ref="D15:I15" si="5">$H$43/12</f>
        <v>744.15644999999995</v>
      </c>
      <c r="E15" s="6">
        <f t="shared" si="5"/>
        <v>744.15644999999995</v>
      </c>
      <c r="F15" s="6">
        <f t="shared" si="5"/>
        <v>744.15644999999995</v>
      </c>
      <c r="G15" s="6">
        <f t="shared" si="5"/>
        <v>744.15644999999995</v>
      </c>
      <c r="H15" s="6">
        <f t="shared" si="5"/>
        <v>744.15644999999995</v>
      </c>
      <c r="I15" s="6">
        <f t="shared" si="5"/>
        <v>744.15644999999995</v>
      </c>
    </row>
    <row r="16" spans="2:9">
      <c r="B16" s="33" t="str">
        <f>'Profit and Loss Statement'!D16</f>
        <v>Equipment Costs</v>
      </c>
      <c r="C16" s="6">
        <f>$H$44/12</f>
        <v>720.45719999999994</v>
      </c>
      <c r="D16" s="6">
        <f t="shared" ref="D16:I16" si="6">$H$44/12</f>
        <v>720.45719999999994</v>
      </c>
      <c r="E16" s="6">
        <f t="shared" si="6"/>
        <v>720.45719999999994</v>
      </c>
      <c r="F16" s="6">
        <f t="shared" si="6"/>
        <v>720.45719999999994</v>
      </c>
      <c r="G16" s="6">
        <f t="shared" si="6"/>
        <v>720.45719999999994</v>
      </c>
      <c r="H16" s="6">
        <f t="shared" si="6"/>
        <v>720.45719999999994</v>
      </c>
      <c r="I16" s="6">
        <f t="shared" si="6"/>
        <v>720.45719999999994</v>
      </c>
    </row>
    <row r="17" spans="2:9">
      <c r="B17" s="33" t="str">
        <f>'Profit and Loss Statement'!D17</f>
        <v>Insurance Costs</v>
      </c>
      <c r="C17" s="6">
        <f>$H$45/12</f>
        <v>1462.5</v>
      </c>
      <c r="D17" s="6">
        <f t="shared" ref="D17:I17" si="7">$H$45/12</f>
        <v>1462.5</v>
      </c>
      <c r="E17" s="6">
        <f t="shared" si="7"/>
        <v>1462.5</v>
      </c>
      <c r="F17" s="6">
        <f t="shared" si="7"/>
        <v>1462.5</v>
      </c>
      <c r="G17" s="6">
        <f t="shared" si="7"/>
        <v>1462.5</v>
      </c>
      <c r="H17" s="6">
        <f t="shared" si="7"/>
        <v>1462.5</v>
      </c>
      <c r="I17" s="6">
        <f t="shared" si="7"/>
        <v>1462.5</v>
      </c>
    </row>
    <row r="18" spans="2:9">
      <c r="B18" s="33" t="str">
        <f>'Profit and Loss Statement'!D18</f>
        <v>Marketing</v>
      </c>
      <c r="C18" s="6">
        <f>$H$46/12</f>
        <v>568.78200000000004</v>
      </c>
      <c r="D18" s="6">
        <f t="shared" ref="D18:I18" si="8">$H$46/12</f>
        <v>568.78200000000004</v>
      </c>
      <c r="E18" s="6">
        <f t="shared" si="8"/>
        <v>568.78200000000004</v>
      </c>
      <c r="F18" s="6">
        <f t="shared" si="8"/>
        <v>568.78200000000004</v>
      </c>
      <c r="G18" s="6">
        <f t="shared" si="8"/>
        <v>568.78200000000004</v>
      </c>
      <c r="H18" s="6">
        <f t="shared" si="8"/>
        <v>568.78200000000004</v>
      </c>
      <c r="I18" s="6">
        <f t="shared" si="8"/>
        <v>568.78200000000004</v>
      </c>
    </row>
    <row r="19" spans="2:9">
      <c r="B19" s="33" t="str">
        <f>'Profit and Loss Statement'!D19</f>
        <v>Professional Fees and Licensure</v>
      </c>
      <c r="C19" s="6">
        <f>$H$47/12</f>
        <v>416.66666666666669</v>
      </c>
      <c r="D19" s="6">
        <f t="shared" ref="D19:I19" si="9">$H$47/12</f>
        <v>416.66666666666669</v>
      </c>
      <c r="E19" s="6">
        <f t="shared" si="9"/>
        <v>416.66666666666669</v>
      </c>
      <c r="F19" s="6">
        <f t="shared" si="9"/>
        <v>416.66666666666669</v>
      </c>
      <c r="G19" s="6">
        <f t="shared" si="9"/>
        <v>416.66666666666669</v>
      </c>
      <c r="H19" s="6">
        <f t="shared" si="9"/>
        <v>416.66666666666669</v>
      </c>
      <c r="I19" s="6">
        <f t="shared" si="9"/>
        <v>416.66666666666669</v>
      </c>
    </row>
    <row r="20" spans="2:9">
      <c r="B20" s="29" t="s">
        <v>14</v>
      </c>
      <c r="C20" s="6">
        <f>$H$48/12</f>
        <v>1864.6875</v>
      </c>
      <c r="D20" s="6">
        <f t="shared" ref="D20:I20" si="10">$H$48/12</f>
        <v>1864.6875</v>
      </c>
      <c r="E20" s="6">
        <f t="shared" si="10"/>
        <v>1864.6875</v>
      </c>
      <c r="F20" s="6">
        <f t="shared" si="10"/>
        <v>1864.6875</v>
      </c>
      <c r="G20" s="6">
        <f t="shared" si="10"/>
        <v>1864.6875</v>
      </c>
      <c r="H20" s="6">
        <f t="shared" si="10"/>
        <v>1864.6875</v>
      </c>
      <c r="I20" s="6">
        <f t="shared" si="10"/>
        <v>1864.6875</v>
      </c>
    </row>
    <row r="21" spans="2:9">
      <c r="B21" s="28" t="s">
        <v>8</v>
      </c>
      <c r="C21" s="6">
        <f>SUM(C13:C20)</f>
        <v>31193.916483333334</v>
      </c>
      <c r="D21" s="6">
        <f t="shared" ref="D21:I21" si="11">SUM(D13:D20)</f>
        <v>31193.916483333334</v>
      </c>
      <c r="E21" s="6">
        <f t="shared" si="11"/>
        <v>31193.916483333334</v>
      </c>
      <c r="F21" s="6">
        <f t="shared" si="11"/>
        <v>31193.916483333334</v>
      </c>
      <c r="G21" s="6">
        <f t="shared" si="11"/>
        <v>31193.916483333334</v>
      </c>
      <c r="H21" s="6">
        <f t="shared" si="11"/>
        <v>31193.916483333334</v>
      </c>
      <c r="I21" s="6">
        <f t="shared" si="11"/>
        <v>31193.916483333334</v>
      </c>
    </row>
    <row r="22" spans="2:9">
      <c r="B22" s="30"/>
    </row>
    <row r="23" spans="2:9">
      <c r="B23" s="24" t="s">
        <v>47</v>
      </c>
      <c r="C23" s="25">
        <f>C10-C21</f>
        <v>13693.583516666666</v>
      </c>
      <c r="D23" s="25">
        <f t="shared" ref="D23:I23" si="12">D10-D21</f>
        <v>13719.233516666667</v>
      </c>
      <c r="E23" s="25">
        <f t="shared" si="12"/>
        <v>13744.883516666669</v>
      </c>
      <c r="F23" s="25">
        <f t="shared" si="12"/>
        <v>13770.533516666663</v>
      </c>
      <c r="G23" s="25">
        <f t="shared" si="12"/>
        <v>13796.183516666664</v>
      </c>
      <c r="H23" s="25">
        <f t="shared" si="12"/>
        <v>13821.833516666666</v>
      </c>
      <c r="I23" s="25">
        <f t="shared" si="12"/>
        <v>13847.483516666667</v>
      </c>
    </row>
    <row r="24" spans="2:9">
      <c r="B24" s="29" t="s">
        <v>15</v>
      </c>
      <c r="C24" s="6">
        <f>(C6/$H$34)*$H$52</f>
        <v>3064.31560848456</v>
      </c>
      <c r="D24" s="6">
        <f t="shared" ref="D24:I24" si="13">(D6/$H$34)*$H$52</f>
        <v>3066.0666459751228</v>
      </c>
      <c r="E24" s="6">
        <f t="shared" si="13"/>
        <v>3067.8176834656856</v>
      </c>
      <c r="F24" s="6">
        <f t="shared" si="13"/>
        <v>3069.5687209562484</v>
      </c>
      <c r="G24" s="6">
        <f t="shared" si="13"/>
        <v>3071.3197584468107</v>
      </c>
      <c r="H24" s="6">
        <f t="shared" si="13"/>
        <v>3073.0707959373731</v>
      </c>
      <c r="I24" s="6">
        <f t="shared" si="13"/>
        <v>3074.8218334279359</v>
      </c>
    </row>
    <row r="25" spans="2:9">
      <c r="B25" s="29" t="s">
        <v>102</v>
      </c>
      <c r="C25" s="6">
        <f>(C6/$H$34)*$H$53</f>
        <v>612.863121696912</v>
      </c>
      <c r="D25" s="6">
        <f t="shared" ref="D25:I25" si="14">(D6/$H$34)*$H$53</f>
        <v>613.21332919502458</v>
      </c>
      <c r="E25" s="6">
        <f t="shared" si="14"/>
        <v>613.56353669313717</v>
      </c>
      <c r="F25" s="6">
        <f t="shared" si="14"/>
        <v>613.91374419124963</v>
      </c>
      <c r="G25" s="6">
        <f t="shared" si="14"/>
        <v>614.26395168936222</v>
      </c>
      <c r="H25" s="6">
        <f t="shared" si="14"/>
        <v>614.61415918747468</v>
      </c>
      <c r="I25" s="6">
        <f t="shared" si="14"/>
        <v>614.96436668558715</v>
      </c>
    </row>
    <row r="26" spans="2:9">
      <c r="B26" s="29" t="s">
        <v>16</v>
      </c>
      <c r="C26" s="6">
        <f>'Loan Amortization Table'!D14</f>
        <v>729.16666666666674</v>
      </c>
      <c r="D26" s="6">
        <f>'Loan Amortization Table'!D15</f>
        <v>724.95389561253091</v>
      </c>
      <c r="E26" s="6">
        <f>'Loan Amortization Table'!D16</f>
        <v>720.71655006057938</v>
      </c>
      <c r="F26" s="6">
        <f>'Loan Amortization Table'!D17</f>
        <v>716.45448665957474</v>
      </c>
      <c r="G26" s="6">
        <f>'Loan Amortization Table'!D18</f>
        <v>712.16756122206425</v>
      </c>
      <c r="H26" s="6">
        <f>'Loan Amortization Table'!D19</f>
        <v>707.85562871950151</v>
      </c>
      <c r="I26" s="6">
        <f>'Loan Amortization Table'!D20</f>
        <v>703.51854327734065</v>
      </c>
    </row>
    <row r="27" spans="2:9">
      <c r="B27" s="29" t="s">
        <v>54</v>
      </c>
      <c r="C27" s="6">
        <f>$H$55/12</f>
        <v>833.33333333333337</v>
      </c>
      <c r="D27" s="6">
        <f t="shared" ref="D27:I27" si="15">$H$55/12</f>
        <v>833.33333333333337</v>
      </c>
      <c r="E27" s="6">
        <f t="shared" si="15"/>
        <v>833.33333333333337</v>
      </c>
      <c r="F27" s="6">
        <f t="shared" si="15"/>
        <v>833.33333333333337</v>
      </c>
      <c r="G27" s="6">
        <f t="shared" si="15"/>
        <v>833.33333333333337</v>
      </c>
      <c r="H27" s="6">
        <f t="shared" si="15"/>
        <v>833.33333333333337</v>
      </c>
      <c r="I27" s="6">
        <f t="shared" si="15"/>
        <v>833.33333333333337</v>
      </c>
    </row>
    <row r="28" spans="2:9">
      <c r="B28" s="38" t="s">
        <v>17</v>
      </c>
      <c r="C28" s="39">
        <f>C23-SUM(C24:C27)</f>
        <v>8453.9047864851927</v>
      </c>
      <c r="D28" s="39">
        <f t="shared" ref="D28:I28" si="16">D23-SUM(D24:D27)</f>
        <v>8481.6663125506566</v>
      </c>
      <c r="E28" s="39">
        <f t="shared" si="16"/>
        <v>8509.4524131139333</v>
      </c>
      <c r="F28" s="39">
        <f t="shared" si="16"/>
        <v>8537.2632315262563</v>
      </c>
      <c r="G28" s="39">
        <f t="shared" si="16"/>
        <v>8565.0989119750939</v>
      </c>
      <c r="H28" s="39">
        <f t="shared" si="16"/>
        <v>8592.9595994889823</v>
      </c>
      <c r="I28" s="39">
        <f t="shared" si="16"/>
        <v>8620.84543994247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47439</v>
      </c>
      <c r="D34" s="6">
        <f>Inputs!K42</f>
        <v>47466</v>
      </c>
      <c r="E34" s="6">
        <f>Inputs!L42</f>
        <v>47493</v>
      </c>
      <c r="F34" s="6">
        <f>Inputs!M42</f>
        <v>47520</v>
      </c>
      <c r="G34" s="6">
        <f>Inputs!N42</f>
        <v>47547</v>
      </c>
      <c r="H34" s="6">
        <f>'Profit and Loss Statement'!E6</f>
        <v>568782</v>
      </c>
    </row>
    <row r="35" spans="2:8">
      <c r="B35" s="31" t="s">
        <v>52</v>
      </c>
      <c r="C35" s="6">
        <f>Inputs!J61</f>
        <v>2371.9499999999998</v>
      </c>
      <c r="D35" s="6">
        <f>Inputs!K61</f>
        <v>2373.3000000000002</v>
      </c>
      <c r="E35" s="6">
        <f>Inputs!L61</f>
        <v>2374.65</v>
      </c>
      <c r="F35" s="6">
        <f>Inputs!M61</f>
        <v>2376</v>
      </c>
      <c r="G35" s="6">
        <f>Inputs!N61</f>
        <v>2377.35</v>
      </c>
      <c r="H35" s="6">
        <f>'Profit and Loss Statement'!E7</f>
        <v>28439.1</v>
      </c>
    </row>
    <row r="36" spans="2:8">
      <c r="B36" s="29" t="s">
        <v>12</v>
      </c>
      <c r="C36" s="17">
        <f>1-(C35/C34)</f>
        <v>0.95</v>
      </c>
      <c r="D36" s="17">
        <f t="shared" ref="D36:H36" si="18">1-(D35/D34)</f>
        <v>0.95</v>
      </c>
      <c r="E36" s="17">
        <f t="shared" si="18"/>
        <v>0.95</v>
      </c>
      <c r="F36" s="17">
        <f t="shared" si="18"/>
        <v>0.95</v>
      </c>
      <c r="G36" s="17">
        <f t="shared" si="18"/>
        <v>0.95</v>
      </c>
      <c r="H36" s="17">
        <f t="shared" si="18"/>
        <v>0.95</v>
      </c>
    </row>
    <row r="37" spans="2:8">
      <c r="B37" s="30"/>
    </row>
    <row r="38" spans="2:8">
      <c r="B38" s="37" t="s">
        <v>10</v>
      </c>
      <c r="C38" s="6">
        <f>C34-C35</f>
        <v>45067.05</v>
      </c>
      <c r="D38" s="6">
        <f t="shared" ref="D38:H38" si="19">D34-D35</f>
        <v>45092.7</v>
      </c>
      <c r="E38" s="6">
        <f t="shared" si="19"/>
        <v>45118.35</v>
      </c>
      <c r="F38" s="6">
        <f t="shared" si="19"/>
        <v>45144</v>
      </c>
      <c r="G38" s="6">
        <f t="shared" si="19"/>
        <v>45169.65</v>
      </c>
      <c r="H38" s="6">
        <f t="shared" si="19"/>
        <v>540342.9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24375</v>
      </c>
      <c r="D41" s="6">
        <f t="shared" ref="D41:G41" si="20">$H$41/12</f>
        <v>24375</v>
      </c>
      <c r="E41" s="6">
        <f t="shared" si="20"/>
        <v>24375</v>
      </c>
      <c r="F41" s="6">
        <f t="shared" si="20"/>
        <v>24375</v>
      </c>
      <c r="G41" s="6">
        <f t="shared" si="20"/>
        <v>24375</v>
      </c>
      <c r="H41" s="6">
        <f>'Profit and Loss Statement'!E13</f>
        <v>292500</v>
      </c>
    </row>
    <row r="42" spans="2:8">
      <c r="B42" s="33" t="str">
        <f>B14</f>
        <v>Facility Costs</v>
      </c>
      <c r="C42" s="6">
        <f>$H$42/12</f>
        <v>1041.6666666666667</v>
      </c>
      <c r="D42" s="6">
        <f t="shared" ref="D42:G42" si="21">$H$42/12</f>
        <v>1041.6666666666667</v>
      </c>
      <c r="E42" s="6">
        <f t="shared" si="21"/>
        <v>1041.6666666666667</v>
      </c>
      <c r="F42" s="6">
        <f t="shared" si="21"/>
        <v>1041.6666666666667</v>
      </c>
      <c r="G42" s="6">
        <f t="shared" si="21"/>
        <v>1041.6666666666667</v>
      </c>
      <c r="H42" s="6">
        <f>'Profit and Loss Statement'!E14</f>
        <v>12500</v>
      </c>
    </row>
    <row r="43" spans="2:8">
      <c r="B43" s="33" t="str">
        <f t="shared" ref="B43:B47" si="22">B15</f>
        <v>General and Administrative</v>
      </c>
      <c r="C43" s="6">
        <f>$H$43/12</f>
        <v>744.15644999999995</v>
      </c>
      <c r="D43" s="6">
        <f t="shared" ref="D43:G43" si="23">$H$43/12</f>
        <v>744.15644999999995</v>
      </c>
      <c r="E43" s="6">
        <f t="shared" si="23"/>
        <v>744.15644999999995</v>
      </c>
      <c r="F43" s="6">
        <f t="shared" si="23"/>
        <v>744.15644999999995</v>
      </c>
      <c r="G43" s="6">
        <f t="shared" si="23"/>
        <v>744.15644999999995</v>
      </c>
      <c r="H43" s="6">
        <f>'Profit and Loss Statement'!E15</f>
        <v>8929.8773999999994</v>
      </c>
    </row>
    <row r="44" spans="2:8">
      <c r="B44" s="33" t="str">
        <f t="shared" si="22"/>
        <v>Equipment Costs</v>
      </c>
      <c r="C44" s="6">
        <f>$H$44/12</f>
        <v>720.45719999999994</v>
      </c>
      <c r="D44" s="6">
        <f t="shared" ref="D44:G44" si="24">$H$44/12</f>
        <v>720.45719999999994</v>
      </c>
      <c r="E44" s="6">
        <f t="shared" si="24"/>
        <v>720.45719999999994</v>
      </c>
      <c r="F44" s="6">
        <f t="shared" si="24"/>
        <v>720.45719999999994</v>
      </c>
      <c r="G44" s="6">
        <f t="shared" si="24"/>
        <v>720.45719999999994</v>
      </c>
      <c r="H44" s="6">
        <f>'Profit and Loss Statement'!E16</f>
        <v>8645.4863999999998</v>
      </c>
    </row>
    <row r="45" spans="2:8">
      <c r="B45" s="33" t="str">
        <f t="shared" si="22"/>
        <v>Insurance Costs</v>
      </c>
      <c r="C45" s="6">
        <f>$H$45/12</f>
        <v>1462.5</v>
      </c>
      <c r="D45" s="6">
        <f t="shared" ref="D45:G45" si="25">$H$45/12</f>
        <v>1462.5</v>
      </c>
      <c r="E45" s="6">
        <f t="shared" si="25"/>
        <v>1462.5</v>
      </c>
      <c r="F45" s="6">
        <f t="shared" si="25"/>
        <v>1462.5</v>
      </c>
      <c r="G45" s="6">
        <f t="shared" si="25"/>
        <v>1462.5</v>
      </c>
      <c r="H45" s="6">
        <f>'Profit and Loss Statement'!E17</f>
        <v>17550</v>
      </c>
    </row>
    <row r="46" spans="2:8">
      <c r="B46" s="33" t="str">
        <f t="shared" si="22"/>
        <v>Marketing</v>
      </c>
      <c r="C46" s="6">
        <f>$H$46/12</f>
        <v>568.78200000000004</v>
      </c>
      <c r="D46" s="6">
        <f t="shared" ref="D46:G46" si="26">$H$46/12</f>
        <v>568.78200000000004</v>
      </c>
      <c r="E46" s="6">
        <f t="shared" si="26"/>
        <v>568.78200000000004</v>
      </c>
      <c r="F46" s="6">
        <f t="shared" si="26"/>
        <v>568.78200000000004</v>
      </c>
      <c r="G46" s="6">
        <f t="shared" si="26"/>
        <v>568.78200000000004</v>
      </c>
      <c r="H46" s="6">
        <f>'Profit and Loss Statement'!E18</f>
        <v>6825.384</v>
      </c>
    </row>
    <row r="47" spans="2:8">
      <c r="B47" s="33" t="str">
        <f t="shared" si="22"/>
        <v>Professional Fees and Licensure</v>
      </c>
      <c r="C47" s="6">
        <f>$H$47/12</f>
        <v>416.66666666666669</v>
      </c>
      <c r="D47" s="6">
        <f t="shared" ref="D47:G47" si="27">$H$47/12</f>
        <v>416.66666666666669</v>
      </c>
      <c r="E47" s="6">
        <f t="shared" si="27"/>
        <v>416.66666666666669</v>
      </c>
      <c r="F47" s="6">
        <f t="shared" si="27"/>
        <v>416.66666666666669</v>
      </c>
      <c r="G47" s="6">
        <f t="shared" si="27"/>
        <v>416.66666666666669</v>
      </c>
      <c r="H47" s="6">
        <f>'Profit and Loss Statement'!E19</f>
        <v>5000</v>
      </c>
    </row>
    <row r="48" spans="2:8">
      <c r="B48" s="29" t="s">
        <v>14</v>
      </c>
      <c r="C48" s="6">
        <f>$H$48/12</f>
        <v>1864.6875</v>
      </c>
      <c r="D48" s="6">
        <f t="shared" ref="D48:G48" si="28">$H$48/12</f>
        <v>1864.6875</v>
      </c>
      <c r="E48" s="6">
        <f t="shared" si="28"/>
        <v>1864.6875</v>
      </c>
      <c r="F48" s="6">
        <f t="shared" si="28"/>
        <v>1864.6875</v>
      </c>
      <c r="G48" s="6">
        <f t="shared" si="28"/>
        <v>1864.6875</v>
      </c>
      <c r="H48" s="6">
        <f>'Profit and Loss Statement'!E20</f>
        <v>22376.25</v>
      </c>
    </row>
    <row r="49" spans="2:15">
      <c r="B49" s="28" t="s">
        <v>8</v>
      </c>
      <c r="C49" s="6">
        <f>SUM(C41:C48)</f>
        <v>31193.916483333334</v>
      </c>
      <c r="D49" s="6">
        <f t="shared" ref="D49:G49" si="29">SUM(D41:D48)</f>
        <v>31193.916483333334</v>
      </c>
      <c r="E49" s="6">
        <f t="shared" si="29"/>
        <v>31193.916483333334</v>
      </c>
      <c r="F49" s="6">
        <f t="shared" si="29"/>
        <v>31193.916483333334</v>
      </c>
      <c r="G49" s="6">
        <f t="shared" si="29"/>
        <v>31193.916483333334</v>
      </c>
      <c r="H49" s="6">
        <f>'Profit and Loss Statement'!E21</f>
        <v>374326.99780000001</v>
      </c>
    </row>
    <row r="50" spans="2:15">
      <c r="B50" s="30"/>
    </row>
    <row r="51" spans="2:15">
      <c r="B51" s="24" t="s">
        <v>47</v>
      </c>
      <c r="C51" s="25">
        <f>C38-C49</f>
        <v>13873.133516666669</v>
      </c>
      <c r="D51" s="25">
        <f t="shared" ref="D51:H51" si="30">D38-D49</f>
        <v>13898.783516666663</v>
      </c>
      <c r="E51" s="25">
        <f t="shared" si="30"/>
        <v>13924.433516666664</v>
      </c>
      <c r="F51" s="25">
        <f t="shared" si="30"/>
        <v>13950.083516666666</v>
      </c>
      <c r="G51" s="25">
        <f t="shared" si="30"/>
        <v>13975.733516666667</v>
      </c>
      <c r="H51" s="25">
        <f t="shared" si="30"/>
        <v>166015.90220000001</v>
      </c>
    </row>
    <row r="52" spans="2:15">
      <c r="B52" s="29" t="s">
        <v>15</v>
      </c>
      <c r="C52" s="6">
        <f>(C34/$H$34)*$H$52</f>
        <v>3076.5728709184987</v>
      </c>
      <c r="D52" s="6">
        <f t="shared" ref="D52:G52" si="31">(D34/$H$34)*$H$52</f>
        <v>3078.3239084090615</v>
      </c>
      <c r="E52" s="6">
        <f t="shared" si="31"/>
        <v>3080.0749458996238</v>
      </c>
      <c r="F52" s="6">
        <f t="shared" si="31"/>
        <v>3081.8259833901861</v>
      </c>
      <c r="G52" s="6">
        <f t="shared" si="31"/>
        <v>3083.5770208807489</v>
      </c>
      <c r="H52" s="6">
        <f>'Profit and Loss Statement'!E24</f>
        <v>36887.355776191856</v>
      </c>
    </row>
    <row r="53" spans="2:15">
      <c r="B53" s="29" t="s">
        <v>102</v>
      </c>
      <c r="C53" s="6">
        <f>(C34/$H$34)*$H$53</f>
        <v>615.31457418369973</v>
      </c>
      <c r="D53" s="6">
        <f t="shared" ref="D53:G53" si="32">(D34/$H$34)*$H$53</f>
        <v>615.66478168181231</v>
      </c>
      <c r="E53" s="6">
        <f t="shared" si="32"/>
        <v>616.01498917992478</v>
      </c>
      <c r="F53" s="6">
        <f t="shared" si="32"/>
        <v>616.36519667803725</v>
      </c>
      <c r="G53" s="6">
        <f t="shared" si="32"/>
        <v>616.71540417614983</v>
      </c>
      <c r="H53" s="6">
        <f>'Profit and Loss Statement'!E25</f>
        <v>7377.4711552383715</v>
      </c>
    </row>
    <row r="54" spans="2:15">
      <c r="B54" s="29" t="s">
        <v>16</v>
      </c>
      <c r="C54" s="6">
        <f>'Loan Amortization Table'!D21</f>
        <v>699.15615817010041</v>
      </c>
      <c r="D54" s="6">
        <f>'Loan Amortization Table'!D22</f>
        <v>694.76832581640133</v>
      </c>
      <c r="E54" s="6">
        <f>'Loan Amortization Table'!D23</f>
        <v>690.35489777397243</v>
      </c>
      <c r="F54" s="6">
        <f>'Loan Amortization Table'!D24</f>
        <v>685.91572473462918</v>
      </c>
      <c r="G54" s="6">
        <f>'Loan Amortization Table'!D25</f>
        <v>681.45065651922323</v>
      </c>
      <c r="H54" s="6">
        <f>'Profit and Loss Statement'!E26</f>
        <v>8466.4790952325857</v>
      </c>
    </row>
    <row r="55" spans="2:15">
      <c r="B55" s="29" t="s">
        <v>54</v>
      </c>
      <c r="C55" s="6">
        <f>$H$55/12</f>
        <v>833.33333333333337</v>
      </c>
      <c r="D55" s="6">
        <f t="shared" ref="D55:G55" si="33">$H$55/12</f>
        <v>833.33333333333337</v>
      </c>
      <c r="E55" s="6">
        <f t="shared" si="33"/>
        <v>833.33333333333337</v>
      </c>
      <c r="F55" s="6">
        <f t="shared" si="33"/>
        <v>833.33333333333337</v>
      </c>
      <c r="G55" s="6">
        <f t="shared" si="33"/>
        <v>833.33333333333337</v>
      </c>
      <c r="H55" s="6">
        <f>'Profit and Loss Statement'!E27</f>
        <v>10000</v>
      </c>
    </row>
    <row r="56" spans="2:15">
      <c r="B56" s="38" t="s">
        <v>17</v>
      </c>
      <c r="C56" s="39">
        <f>C51-SUM(C52:C55)</f>
        <v>8648.7565800610355</v>
      </c>
      <c r="D56" s="39">
        <f t="shared" ref="D56:G56" si="34">D51-SUM(D52:D55)</f>
        <v>8676.6931674260559</v>
      </c>
      <c r="E56" s="39">
        <f t="shared" si="34"/>
        <v>8704.6553504798103</v>
      </c>
      <c r="F56" s="39">
        <f t="shared" si="34"/>
        <v>8732.6432785304805</v>
      </c>
      <c r="G56" s="39">
        <f t="shared" si="34"/>
        <v>8760.6571017572132</v>
      </c>
      <c r="H56" s="39">
        <f>'Profit and Loss Statement'!E28</f>
        <v>103284.5961733372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2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170634.6</v>
      </c>
      <c r="D62" s="6">
        <f t="shared" ref="D62:F62" si="38">$G$62*M62</f>
        <v>170634.6</v>
      </c>
      <c r="E62" s="6">
        <f t="shared" si="38"/>
        <v>170634.6</v>
      </c>
      <c r="F62" s="6">
        <f t="shared" si="38"/>
        <v>170634.6</v>
      </c>
      <c r="G62" s="6">
        <f>'Profit and Loss Statement'!F6</f>
        <v>682538.4</v>
      </c>
      <c r="K62" s="4" t="s">
        <v>114</v>
      </c>
      <c r="L62" s="109">
        <v>0.25</v>
      </c>
      <c r="M62" s="109">
        <v>0.25</v>
      </c>
      <c r="N62" s="109">
        <v>0.25</v>
      </c>
      <c r="O62" s="109">
        <v>0.25</v>
      </c>
    </row>
    <row r="63" spans="2:15">
      <c r="B63" s="31" t="s">
        <v>52</v>
      </c>
      <c r="C63" s="6">
        <f>$G$63*L62</f>
        <v>8531.73</v>
      </c>
      <c r="D63" s="6">
        <f t="shared" ref="D63:F63" si="39">$G$63*M62</f>
        <v>8531.73</v>
      </c>
      <c r="E63" s="6">
        <f t="shared" si="39"/>
        <v>8531.73</v>
      </c>
      <c r="F63" s="6">
        <f t="shared" si="39"/>
        <v>8531.73</v>
      </c>
      <c r="G63" s="6">
        <f>'Profit and Loss Statement'!F7</f>
        <v>34126.92</v>
      </c>
    </row>
    <row r="64" spans="2:15">
      <c r="B64" s="29" t="s">
        <v>12</v>
      </c>
      <c r="C64" s="17">
        <f>1-(C63/C62)</f>
        <v>0.95</v>
      </c>
      <c r="D64" s="17">
        <f t="shared" ref="D64" si="40">1-(D63/D62)</f>
        <v>0.95</v>
      </c>
      <c r="E64" s="17">
        <f t="shared" ref="E64" si="41">1-(E63/E62)</f>
        <v>0.95</v>
      </c>
      <c r="F64" s="17">
        <f t="shared" ref="F64:G64" si="42">1-(F63/F62)</f>
        <v>0.95</v>
      </c>
      <c r="G64" s="17">
        <f t="shared" si="42"/>
        <v>0.95</v>
      </c>
    </row>
    <row r="65" spans="2:7">
      <c r="B65" s="30"/>
    </row>
    <row r="66" spans="2:7">
      <c r="B66" s="37" t="s">
        <v>10</v>
      </c>
      <c r="C66" s="6">
        <f>C62-C63</f>
        <v>162102.87</v>
      </c>
      <c r="D66" s="6">
        <f t="shared" ref="D66:G66" si="43">D62-D63</f>
        <v>162102.87</v>
      </c>
      <c r="E66" s="6">
        <f t="shared" si="43"/>
        <v>162102.87</v>
      </c>
      <c r="F66" s="6">
        <f t="shared" si="43"/>
        <v>162102.87</v>
      </c>
      <c r="G66" s="6">
        <f t="shared" si="43"/>
        <v>648411.48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75318.75</v>
      </c>
      <c r="D69" s="6">
        <f t="shared" ref="D69:F69" si="44">$G$69/4</f>
        <v>75318.75</v>
      </c>
      <c r="E69" s="6">
        <f t="shared" si="44"/>
        <v>75318.75</v>
      </c>
      <c r="F69" s="6">
        <f t="shared" si="44"/>
        <v>75318.75</v>
      </c>
      <c r="G69" s="6">
        <f>'Profit and Loss Statement'!F13</f>
        <v>301275</v>
      </c>
    </row>
    <row r="70" spans="2:7">
      <c r="B70" s="33" t="str">
        <f>B42</f>
        <v>Facility Costs</v>
      </c>
      <c r="C70" s="6">
        <f>$G$70/4</f>
        <v>3218.75</v>
      </c>
      <c r="D70" s="6">
        <f t="shared" ref="D70:F70" si="45">$G$70/4</f>
        <v>3218.75</v>
      </c>
      <c r="E70" s="6">
        <f t="shared" si="45"/>
        <v>3218.75</v>
      </c>
      <c r="F70" s="6">
        <f t="shared" si="45"/>
        <v>3218.75</v>
      </c>
      <c r="G70" s="6">
        <f>'Profit and Loss Statement'!F14</f>
        <v>12875</v>
      </c>
    </row>
    <row r="71" spans="2:7">
      <c r="B71" s="33" t="str">
        <f t="shared" ref="B71:B75" si="46">B43</f>
        <v>General and Administrative</v>
      </c>
      <c r="C71" s="6">
        <f>$G$71/4</f>
        <v>2678.9632200000001</v>
      </c>
      <c r="D71" s="6">
        <f t="shared" ref="D71:F71" si="47">$G$71/4</f>
        <v>2678.9632200000001</v>
      </c>
      <c r="E71" s="6">
        <f t="shared" si="47"/>
        <v>2678.9632200000001</v>
      </c>
      <c r="F71" s="6">
        <f t="shared" si="47"/>
        <v>2678.9632200000001</v>
      </c>
      <c r="G71" s="6">
        <f>'Profit and Loss Statement'!F15</f>
        <v>10715.85288</v>
      </c>
    </row>
    <row r="72" spans="2:7">
      <c r="B72" s="33" t="str">
        <f t="shared" si="46"/>
        <v>Equipment Costs</v>
      </c>
      <c r="C72" s="6">
        <f>$G$72/4</f>
        <v>2593.6459199999999</v>
      </c>
      <c r="D72" s="6">
        <f t="shared" ref="D72:F72" si="48">$G$72/4</f>
        <v>2593.6459199999999</v>
      </c>
      <c r="E72" s="6">
        <f t="shared" si="48"/>
        <v>2593.6459199999999</v>
      </c>
      <c r="F72" s="6">
        <f t="shared" si="48"/>
        <v>2593.6459199999999</v>
      </c>
      <c r="G72" s="6">
        <f>'Profit and Loss Statement'!F16</f>
        <v>10374.58368</v>
      </c>
    </row>
    <row r="73" spans="2:7">
      <c r="B73" s="33" t="str">
        <f t="shared" si="46"/>
        <v>Insurance Costs</v>
      </c>
      <c r="C73" s="6">
        <f>$G$73/4</f>
        <v>4519.125</v>
      </c>
      <c r="D73" s="6">
        <f t="shared" ref="D73:F73" si="49">$G$73/4</f>
        <v>4519.125</v>
      </c>
      <c r="E73" s="6">
        <f t="shared" si="49"/>
        <v>4519.125</v>
      </c>
      <c r="F73" s="6">
        <f t="shared" si="49"/>
        <v>4519.125</v>
      </c>
      <c r="G73" s="6">
        <f>'Profit and Loss Statement'!F17</f>
        <v>18076.5</v>
      </c>
    </row>
    <row r="74" spans="2:7">
      <c r="B74" s="33" t="str">
        <f t="shared" si="46"/>
        <v>Marketing</v>
      </c>
      <c r="C74" s="6">
        <f>$G$74/4</f>
        <v>2047.6152000000002</v>
      </c>
      <c r="D74" s="6">
        <f t="shared" ref="D74:F74" si="50">$G$74/4</f>
        <v>2047.6152000000002</v>
      </c>
      <c r="E74" s="6">
        <f t="shared" si="50"/>
        <v>2047.6152000000002</v>
      </c>
      <c r="F74" s="6">
        <f t="shared" si="50"/>
        <v>2047.6152000000002</v>
      </c>
      <c r="G74" s="6">
        <f>'Profit and Loss Statement'!F18</f>
        <v>8190.4608000000007</v>
      </c>
    </row>
    <row r="75" spans="2:7">
      <c r="B75" s="33" t="str">
        <f t="shared" si="46"/>
        <v>Professional Fees and Licensure</v>
      </c>
      <c r="C75" s="6">
        <f>$G$75/4</f>
        <v>1687.5</v>
      </c>
      <c r="D75" s="6">
        <f t="shared" ref="D75:F75" si="51">$G$75/4</f>
        <v>1687.5</v>
      </c>
      <c r="E75" s="6">
        <f t="shared" si="51"/>
        <v>1687.5</v>
      </c>
      <c r="F75" s="6">
        <f t="shared" si="51"/>
        <v>1687.5</v>
      </c>
      <c r="G75" s="6">
        <f>'Profit and Loss Statement'!F19</f>
        <v>6750</v>
      </c>
    </row>
    <row r="76" spans="2:7">
      <c r="B76" s="29" t="s">
        <v>14</v>
      </c>
      <c r="C76" s="6">
        <f>$G$76/4</f>
        <v>5761.8843749999996</v>
      </c>
      <c r="D76" s="6">
        <f t="shared" ref="D76:F76" si="52">$G$76/4</f>
        <v>5761.8843749999996</v>
      </c>
      <c r="E76" s="6">
        <f t="shared" si="52"/>
        <v>5761.8843749999996</v>
      </c>
      <c r="F76" s="6">
        <f t="shared" si="52"/>
        <v>5761.8843749999996</v>
      </c>
      <c r="G76" s="6">
        <f>'Profit and Loss Statement'!F20</f>
        <v>23047.537499999999</v>
      </c>
    </row>
    <row r="77" spans="2:7">
      <c r="B77" s="28" t="s">
        <v>8</v>
      </c>
      <c r="C77" s="6">
        <f>SUM(C69:C76)</f>
        <v>97826.233714999995</v>
      </c>
      <c r="D77" s="6">
        <f t="shared" ref="D77:F77" si="53">SUM(D69:D76)</f>
        <v>97826.233714999995</v>
      </c>
      <c r="E77" s="6">
        <f t="shared" si="53"/>
        <v>97826.233714999995</v>
      </c>
      <c r="F77" s="6">
        <f t="shared" si="53"/>
        <v>97826.233714999995</v>
      </c>
      <c r="G77" s="6">
        <f>SUM(G69:G76)</f>
        <v>391304.93485999998</v>
      </c>
    </row>
    <row r="78" spans="2:7">
      <c r="B78" s="30"/>
    </row>
    <row r="79" spans="2:7">
      <c r="B79" s="24" t="s">
        <v>47</v>
      </c>
      <c r="C79" s="25">
        <f>C66-C77</f>
        <v>64276.636285</v>
      </c>
      <c r="D79" s="25">
        <f t="shared" ref="D79:F79" si="54">D66-D77</f>
        <v>64276.636285</v>
      </c>
      <c r="E79" s="25">
        <f t="shared" si="54"/>
        <v>64276.636285</v>
      </c>
      <c r="F79" s="25">
        <f t="shared" si="54"/>
        <v>64276.636285</v>
      </c>
      <c r="G79" s="25">
        <f t="shared" ref="G79" si="55">G66-G77</f>
        <v>257106.54514</v>
      </c>
    </row>
    <row r="80" spans="2:7">
      <c r="B80" s="29" t="s">
        <v>15</v>
      </c>
      <c r="C80" s="6">
        <f>$G$80*L62</f>
        <v>14955.440455564172</v>
      </c>
      <c r="D80" s="6">
        <f t="shared" ref="D80:F80" si="56">$G$80*M62</f>
        <v>14955.440455564172</v>
      </c>
      <c r="E80" s="6">
        <f t="shared" si="56"/>
        <v>14955.440455564172</v>
      </c>
      <c r="F80" s="6">
        <f t="shared" si="56"/>
        <v>14955.440455564172</v>
      </c>
      <c r="G80" s="6">
        <f>'Profit and Loss Statement'!F24</f>
        <v>59821.761822256689</v>
      </c>
    </row>
    <row r="81" spans="2:15">
      <c r="B81" s="29" t="s">
        <v>102</v>
      </c>
      <c r="C81" s="6">
        <f>$G$81*L62</f>
        <v>2991.0880911128347</v>
      </c>
      <c r="D81" s="6">
        <f t="shared" ref="D81:F81" si="57">$G$81*M62</f>
        <v>2991.0880911128347</v>
      </c>
      <c r="E81" s="6">
        <f t="shared" si="57"/>
        <v>2991.0880911128347</v>
      </c>
      <c r="F81" s="6">
        <f t="shared" si="57"/>
        <v>2991.0880911128347</v>
      </c>
      <c r="G81" s="6">
        <f>'Profit and Loss Statement'!F25</f>
        <v>11964.352364451339</v>
      </c>
    </row>
    <row r="82" spans="2:15">
      <c r="B82" s="29" t="s">
        <v>16</v>
      </c>
      <c r="C82" s="6">
        <f>SUM('Loan Amortization Table'!D26:D28)</f>
        <v>2017.3003373846282</v>
      </c>
      <c r="D82" s="6">
        <f>SUM('Loan Amortization Table'!D29:D31)</f>
        <v>1976.1678949348463</v>
      </c>
      <c r="E82" s="6">
        <f>SUM('Loan Amortization Table'!D32:D34)</f>
        <v>1934.31142764076</v>
      </c>
      <c r="F82" s="6">
        <f>SUM('Loan Amortization Table'!D35:D37)</f>
        <v>1891.7181910130098</v>
      </c>
      <c r="G82" s="6">
        <f>'Profit and Loss Statement'!F26</f>
        <v>7819.4978509732455</v>
      </c>
    </row>
    <row r="83" spans="2:15">
      <c r="B83" s="29" t="s">
        <v>54</v>
      </c>
      <c r="C83" s="6">
        <f>$G$83/4</f>
        <v>2500</v>
      </c>
      <c r="D83" s="6">
        <f t="shared" ref="D83:F83" si="58">$G$83/4</f>
        <v>2500</v>
      </c>
      <c r="E83" s="6">
        <f t="shared" si="58"/>
        <v>2500</v>
      </c>
      <c r="F83" s="6">
        <f t="shared" si="58"/>
        <v>2500</v>
      </c>
      <c r="G83" s="6">
        <f>'Profit and Loss Statement'!F27</f>
        <v>10000</v>
      </c>
    </row>
    <row r="84" spans="2:15">
      <c r="B84" s="38" t="s">
        <v>17</v>
      </c>
      <c r="C84" s="39">
        <f>C79-SUM(C80:C83)</f>
        <v>41812.807400938364</v>
      </c>
      <c r="D84" s="39">
        <f t="shared" ref="D84:F84" si="59">D79-SUM(D80:D83)</f>
        <v>41853.939843388143</v>
      </c>
      <c r="E84" s="39">
        <f t="shared" si="59"/>
        <v>41895.796310682228</v>
      </c>
      <c r="F84" s="39">
        <f t="shared" si="59"/>
        <v>41938.389547309984</v>
      </c>
      <c r="G84" s="39">
        <f>'Profit and Loss Statement'!F28</f>
        <v>167500.93310231873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2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196229.78999999998</v>
      </c>
      <c r="D92" s="6">
        <f t="shared" ref="D92:F92" si="64">$G$92*M92</f>
        <v>196229.78999999998</v>
      </c>
      <c r="E92" s="6">
        <f t="shared" si="64"/>
        <v>196229.78999999998</v>
      </c>
      <c r="F92" s="6">
        <f t="shared" si="64"/>
        <v>196229.78999999998</v>
      </c>
      <c r="G92" s="6">
        <f>'Profit and Loss Statement'!G6</f>
        <v>784919.15999999992</v>
      </c>
      <c r="K92" s="4" t="s">
        <v>114</v>
      </c>
      <c r="L92" s="109">
        <v>0.25</v>
      </c>
      <c r="M92" s="109">
        <v>0.25</v>
      </c>
      <c r="N92" s="109">
        <v>0.25</v>
      </c>
      <c r="O92" s="109">
        <v>0.25</v>
      </c>
    </row>
    <row r="93" spans="2:15">
      <c r="B93" s="31" t="s">
        <v>52</v>
      </c>
      <c r="C93" s="6">
        <f>$G$93*L92</f>
        <v>9811.4894999999997</v>
      </c>
      <c r="D93" s="6">
        <f t="shared" ref="D93:F93" si="65">$G$93*M92</f>
        <v>9811.4894999999997</v>
      </c>
      <c r="E93" s="6">
        <f t="shared" si="65"/>
        <v>9811.4894999999997</v>
      </c>
      <c r="F93" s="6">
        <f t="shared" si="65"/>
        <v>9811.4894999999997</v>
      </c>
      <c r="G93" s="6">
        <f>'Profit and Loss Statement'!G7</f>
        <v>39245.957999999999</v>
      </c>
    </row>
    <row r="94" spans="2:15">
      <c r="B94" s="29" t="s">
        <v>12</v>
      </c>
      <c r="C94" s="17">
        <f>1-(C93/C92)</f>
        <v>0.95</v>
      </c>
      <c r="D94" s="17">
        <f t="shared" ref="D94:G94" si="66">1-(D93/D92)</f>
        <v>0.95</v>
      </c>
      <c r="E94" s="17">
        <f t="shared" si="66"/>
        <v>0.95</v>
      </c>
      <c r="F94" s="17">
        <f t="shared" si="66"/>
        <v>0.95</v>
      </c>
      <c r="G94" s="17">
        <f t="shared" si="66"/>
        <v>0.95</v>
      </c>
    </row>
    <row r="95" spans="2:15">
      <c r="B95" s="30"/>
    </row>
    <row r="96" spans="2:15">
      <c r="B96" s="37" t="s">
        <v>10</v>
      </c>
      <c r="C96" s="6">
        <f>C92-C93</f>
        <v>186418.30049999998</v>
      </c>
      <c r="D96" s="6">
        <f t="shared" ref="D96:G96" si="67">D92-D93</f>
        <v>186418.30049999998</v>
      </c>
      <c r="E96" s="6">
        <f t="shared" si="67"/>
        <v>186418.30049999998</v>
      </c>
      <c r="F96" s="6">
        <f t="shared" si="67"/>
        <v>186418.30049999998</v>
      </c>
      <c r="G96" s="6">
        <f t="shared" si="67"/>
        <v>745673.20199999993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77578.3125</v>
      </c>
      <c r="D99" s="6">
        <f>$G$99/4</f>
        <v>77578.3125</v>
      </c>
      <c r="E99" s="6">
        <f>$G$99/4</f>
        <v>77578.3125</v>
      </c>
      <c r="F99" s="6">
        <f>$G$99/4</f>
        <v>77578.3125</v>
      </c>
      <c r="G99" s="6">
        <f>'Profit and Loss Statement'!G13</f>
        <v>310313.25</v>
      </c>
    </row>
    <row r="100" spans="2:7">
      <c r="B100" s="33" t="str">
        <f>B70</f>
        <v>Facility Costs</v>
      </c>
      <c r="C100" s="6">
        <f>$G$100/4</f>
        <v>3315.3125</v>
      </c>
      <c r="D100" s="6">
        <f t="shared" ref="D100:F100" si="68">$G$100/4</f>
        <v>3315.3125</v>
      </c>
      <c r="E100" s="6">
        <f t="shared" si="68"/>
        <v>3315.3125</v>
      </c>
      <c r="F100" s="6">
        <f t="shared" si="68"/>
        <v>3315.3125</v>
      </c>
      <c r="G100" s="6">
        <f>'Profit and Loss Statement'!G14</f>
        <v>13261.25</v>
      </c>
    </row>
    <row r="101" spans="2:7">
      <c r="B101" s="33" t="str">
        <f t="shared" ref="B101:B105" si="69">B71</f>
        <v>General and Administrative</v>
      </c>
      <c r="C101" s="6">
        <f>$G101/4</f>
        <v>3080.8077029999995</v>
      </c>
      <c r="D101" s="6">
        <f t="shared" ref="D101:F101" si="70">$G101/4</f>
        <v>3080.8077029999995</v>
      </c>
      <c r="E101" s="6">
        <f t="shared" si="70"/>
        <v>3080.8077029999995</v>
      </c>
      <c r="F101" s="6">
        <f t="shared" si="70"/>
        <v>3080.8077029999995</v>
      </c>
      <c r="G101" s="6">
        <f>'Profit and Loss Statement'!G15</f>
        <v>12323.230811999998</v>
      </c>
    </row>
    <row r="102" spans="2:7">
      <c r="B102" s="33" t="str">
        <f t="shared" si="69"/>
        <v>Equipment Costs</v>
      </c>
      <c r="C102" s="6">
        <f>$G$102/4</f>
        <v>2982.6928079999998</v>
      </c>
      <c r="D102" s="6">
        <f t="shared" ref="D102:F102" si="71">$G$102/4</f>
        <v>2982.6928079999998</v>
      </c>
      <c r="E102" s="6">
        <f t="shared" si="71"/>
        <v>2982.6928079999998</v>
      </c>
      <c r="F102" s="6">
        <f t="shared" si="71"/>
        <v>2982.6928079999998</v>
      </c>
      <c r="G102" s="6">
        <f>'Profit and Loss Statement'!G16</f>
        <v>11930.771231999999</v>
      </c>
    </row>
    <row r="103" spans="2:7">
      <c r="B103" s="33" t="str">
        <f t="shared" si="69"/>
        <v>Insurance Costs</v>
      </c>
      <c r="C103" s="6">
        <f>$G$103/4</f>
        <v>4654.6987499999996</v>
      </c>
      <c r="D103" s="6">
        <f t="shared" ref="D103:F103" si="72">$G$103/4</f>
        <v>4654.6987499999996</v>
      </c>
      <c r="E103" s="6">
        <f t="shared" si="72"/>
        <v>4654.6987499999996</v>
      </c>
      <c r="F103" s="6">
        <f t="shared" si="72"/>
        <v>4654.6987499999996</v>
      </c>
      <c r="G103" s="6">
        <f>'Profit and Loss Statement'!G17</f>
        <v>18618.794999999998</v>
      </c>
    </row>
    <row r="104" spans="2:7">
      <c r="B104" s="33" t="str">
        <f t="shared" si="69"/>
        <v>Marketing</v>
      </c>
      <c r="C104" s="6">
        <f>$G$104/4</f>
        <v>2354.7574799999998</v>
      </c>
      <c r="D104" s="6">
        <f t="shared" ref="D104:F104" si="73">$G$104/4</f>
        <v>2354.7574799999998</v>
      </c>
      <c r="E104" s="6">
        <f t="shared" si="73"/>
        <v>2354.7574799999998</v>
      </c>
      <c r="F104" s="6">
        <f t="shared" si="73"/>
        <v>2354.7574799999998</v>
      </c>
      <c r="G104" s="6">
        <f>'Profit and Loss Statement'!G18</f>
        <v>9419.029919999999</v>
      </c>
    </row>
    <row r="105" spans="2:7">
      <c r="B105" s="33" t="str">
        <f t="shared" si="69"/>
        <v>Professional Fees and Licensure</v>
      </c>
      <c r="C105" s="6">
        <f>$G$105/4</f>
        <v>2278.125</v>
      </c>
      <c r="D105" s="6">
        <f t="shared" ref="D105:F105" si="74">$G$105/4</f>
        <v>2278.125</v>
      </c>
      <c r="E105" s="6">
        <f t="shared" si="74"/>
        <v>2278.125</v>
      </c>
      <c r="F105" s="6">
        <f t="shared" si="74"/>
        <v>2278.125</v>
      </c>
      <c r="G105" s="6">
        <f>'Profit and Loss Statement'!G19</f>
        <v>9112.5</v>
      </c>
    </row>
    <row r="106" spans="2:7">
      <c r="B106" s="29" t="s">
        <v>14</v>
      </c>
      <c r="C106" s="6">
        <f>$G$106/4</f>
        <v>5934.7409062500001</v>
      </c>
      <c r="D106" s="6">
        <f t="shared" ref="D106:F106" si="75">$G$106/4</f>
        <v>5934.7409062500001</v>
      </c>
      <c r="E106" s="6">
        <f t="shared" si="75"/>
        <v>5934.7409062500001</v>
      </c>
      <c r="F106" s="6">
        <f t="shared" si="75"/>
        <v>5934.7409062500001</v>
      </c>
      <c r="G106" s="6">
        <f>'Profit and Loss Statement'!G20</f>
        <v>23738.963625</v>
      </c>
    </row>
    <row r="107" spans="2:7">
      <c r="B107" s="28" t="s">
        <v>8</v>
      </c>
      <c r="C107" s="6">
        <f>SUM(C99:C106)</f>
        <v>102179.44764724998</v>
      </c>
      <c r="D107" s="6">
        <f t="shared" ref="D107:F107" si="76">SUM(D99:D106)</f>
        <v>102179.44764724998</v>
      </c>
      <c r="E107" s="6">
        <f t="shared" si="76"/>
        <v>102179.44764724998</v>
      </c>
      <c r="F107" s="6">
        <f t="shared" si="76"/>
        <v>102179.44764724998</v>
      </c>
      <c r="G107" s="6">
        <f>SUM(G99:G106)</f>
        <v>408717.79058899992</v>
      </c>
    </row>
    <row r="108" spans="2:7">
      <c r="B108" s="30"/>
    </row>
    <row r="109" spans="2:7">
      <c r="B109" s="24" t="s">
        <v>47</v>
      </c>
      <c r="C109" s="25">
        <f>C96-C107</f>
        <v>84238.852852750002</v>
      </c>
      <c r="D109" s="25">
        <f t="shared" ref="D109:G109" si="77">D96-D107</f>
        <v>84238.852852750002</v>
      </c>
      <c r="E109" s="25">
        <f t="shared" si="77"/>
        <v>84238.852852750002</v>
      </c>
      <c r="F109" s="25">
        <f t="shared" si="77"/>
        <v>84238.852852750002</v>
      </c>
      <c r="G109" s="25">
        <f t="shared" si="77"/>
        <v>336955.41141100001</v>
      </c>
    </row>
    <row r="110" spans="2:7">
      <c r="B110" s="29" t="s">
        <v>15</v>
      </c>
      <c r="C110" s="6">
        <f>$G$110*L92</f>
        <v>19989.35407067163</v>
      </c>
      <c r="D110" s="6">
        <f t="shared" ref="D110:F110" si="78">$G$110*M92</f>
        <v>19989.35407067163</v>
      </c>
      <c r="E110" s="6">
        <f t="shared" si="78"/>
        <v>19989.35407067163</v>
      </c>
      <c r="F110" s="6">
        <f t="shared" si="78"/>
        <v>19989.35407067163</v>
      </c>
      <c r="G110" s="6">
        <f>'Profit and Loss Statement'!G24</f>
        <v>79957.416282686521</v>
      </c>
    </row>
    <row r="111" spans="2:7">
      <c r="B111" s="29" t="s">
        <v>102</v>
      </c>
      <c r="C111" s="6">
        <f>$G$111*L92</f>
        <v>3997.8708141343263</v>
      </c>
      <c r="D111" s="6">
        <f t="shared" ref="D111:F111" si="79">$G$111*M92</f>
        <v>3997.8708141343263</v>
      </c>
      <c r="E111" s="6">
        <f t="shared" si="79"/>
        <v>3997.8708141343263</v>
      </c>
      <c r="F111" s="6">
        <f t="shared" si="79"/>
        <v>3997.8708141343263</v>
      </c>
      <c r="G111" s="6">
        <f>'Profit and Loss Statement'!G25</f>
        <v>15991.483256537305</v>
      </c>
    </row>
    <row r="112" spans="2:7">
      <c r="B112" s="29" t="s">
        <v>16</v>
      </c>
      <c r="C112" s="6">
        <f>SUM('Loan Amortization Table'!D38:D40)</f>
        <v>1848.3752162301412</v>
      </c>
      <c r="D112" s="6">
        <f>SUM('Loan Amortization Table'!D41:D43)</f>
        <v>1804.2693061898499</v>
      </c>
      <c r="E112" s="6">
        <f>SUM('Loan Amortization Table'!D44:D46)</f>
        <v>1759.3870314907176</v>
      </c>
      <c r="F112" s="6">
        <f>SUM('Loan Amortization Table'!D47:D49)</f>
        <v>1713.7147263432189</v>
      </c>
      <c r="G112" s="6">
        <f>'Profit and Loss Statement'!G26</f>
        <v>7125.7462802539276</v>
      </c>
    </row>
    <row r="113" spans="2:15">
      <c r="B113" s="29" t="s">
        <v>54</v>
      </c>
      <c r="C113" s="6">
        <f>$G$113/4</f>
        <v>2500</v>
      </c>
      <c r="D113" s="6">
        <f>$G$113/4</f>
        <v>2500</v>
      </c>
      <c r="E113" s="6">
        <f>$G$113/4</f>
        <v>2500</v>
      </c>
      <c r="F113" s="6">
        <f>$G$113/4</f>
        <v>2500</v>
      </c>
      <c r="G113" s="6">
        <f>'Profit and Loss Statement'!G27</f>
        <v>10000</v>
      </c>
    </row>
    <row r="114" spans="2:15">
      <c r="B114" s="38" t="s">
        <v>17</v>
      </c>
      <c r="C114" s="39">
        <f>C109-SUM(C110:C113)</f>
        <v>55903.252751713902</v>
      </c>
      <c r="D114" s="39">
        <f t="shared" ref="D114:F114" si="80">D109-SUM(D110:D113)</f>
        <v>55947.358661754195</v>
      </c>
      <c r="E114" s="39">
        <f t="shared" si="80"/>
        <v>55992.240936453323</v>
      </c>
      <c r="F114" s="39">
        <f t="shared" si="80"/>
        <v>56037.913241600821</v>
      </c>
      <c r="G114" s="39">
        <f>'Profit and Loss Statement'!G28</f>
        <v>223880.76559152227</v>
      </c>
    </row>
    <row r="117" spans="2:15">
      <c r="B117" s="114"/>
      <c r="K117" s="114"/>
    </row>
    <row r="118" spans="2:15">
      <c r="C118" s="122"/>
      <c r="D118" s="122"/>
      <c r="E118" s="122"/>
      <c r="F118" s="122"/>
      <c r="G118" s="122"/>
      <c r="L118" s="122"/>
      <c r="M118" s="122"/>
      <c r="N118" s="122"/>
      <c r="O118" s="122"/>
    </row>
    <row r="119" spans="2:15">
      <c r="B119" s="126"/>
      <c r="C119" s="1"/>
      <c r="D119" s="1"/>
      <c r="E119" s="1"/>
      <c r="F119" s="1"/>
      <c r="G119" s="1"/>
      <c r="L119" s="128"/>
      <c r="M119" s="128"/>
      <c r="N119" s="128"/>
      <c r="O119" s="128"/>
    </row>
    <row r="120" spans="2:15">
      <c r="C120" s="1"/>
      <c r="D120" s="1"/>
      <c r="E120" s="1"/>
      <c r="F120" s="1"/>
      <c r="G120" s="1"/>
    </row>
    <row r="121" spans="2:15">
      <c r="C121" s="127"/>
      <c r="D121" s="127"/>
      <c r="E121" s="127"/>
      <c r="F121" s="127"/>
      <c r="G121" s="127"/>
    </row>
    <row r="123" spans="2:15">
      <c r="B123" s="126"/>
      <c r="C123" s="1"/>
      <c r="D123" s="1"/>
      <c r="E123" s="1"/>
      <c r="F123" s="1"/>
      <c r="G123" s="1"/>
    </row>
    <row r="125" spans="2:15">
      <c r="I125" s="114"/>
      <c r="J125" s="114"/>
      <c r="K125" s="114"/>
    </row>
    <row r="126" spans="2:15">
      <c r="C126" s="1"/>
      <c r="D126" s="1"/>
      <c r="E126" s="1"/>
      <c r="F126" s="1"/>
      <c r="G126" s="1"/>
      <c r="I126" s="116">
        <f>SUM(C126:F126)</f>
        <v>0</v>
      </c>
      <c r="J126" s="116">
        <f>G126-I126</f>
        <v>0</v>
      </c>
      <c r="K126" s="114"/>
    </row>
    <row r="127" spans="2:15">
      <c r="C127" s="1"/>
      <c r="D127" s="1"/>
      <c r="E127" s="1"/>
      <c r="F127" s="1"/>
      <c r="G127" s="1"/>
      <c r="I127" s="116">
        <f t="shared" ref="I127:I133" si="81">SUM(C127:F127)</f>
        <v>0</v>
      </c>
      <c r="J127" s="116">
        <f t="shared" ref="J127:J133" si="82">G127-I127</f>
        <v>0</v>
      </c>
      <c r="K127" s="114"/>
    </row>
    <row r="128" spans="2:15">
      <c r="C128" s="1"/>
      <c r="D128" s="1"/>
      <c r="E128" s="1"/>
      <c r="F128" s="1"/>
      <c r="G128" s="1"/>
      <c r="I128" s="116">
        <f t="shared" si="81"/>
        <v>0</v>
      </c>
      <c r="J128" s="116">
        <f t="shared" si="82"/>
        <v>0</v>
      </c>
      <c r="K128" s="114"/>
    </row>
    <row r="129" spans="2:11">
      <c r="C129" s="1"/>
      <c r="D129" s="1"/>
      <c r="E129" s="1"/>
      <c r="F129" s="1"/>
      <c r="G129" s="1"/>
      <c r="I129" s="116">
        <f t="shared" si="81"/>
        <v>0</v>
      </c>
      <c r="J129" s="116">
        <f t="shared" si="82"/>
        <v>0</v>
      </c>
      <c r="K129" s="114"/>
    </row>
    <row r="130" spans="2:11">
      <c r="C130" s="1"/>
      <c r="D130" s="1"/>
      <c r="E130" s="1"/>
      <c r="F130" s="1"/>
      <c r="G130" s="1"/>
      <c r="I130" s="116">
        <f t="shared" si="81"/>
        <v>0</v>
      </c>
      <c r="J130" s="116">
        <f t="shared" si="82"/>
        <v>0</v>
      </c>
      <c r="K130" s="114"/>
    </row>
    <row r="131" spans="2:11">
      <c r="C131" s="1"/>
      <c r="D131" s="1"/>
      <c r="E131" s="1"/>
      <c r="F131" s="1"/>
      <c r="G131" s="1"/>
      <c r="I131" s="116">
        <f t="shared" si="81"/>
        <v>0</v>
      </c>
      <c r="J131" s="116">
        <f t="shared" si="82"/>
        <v>0</v>
      </c>
      <c r="K131" s="114"/>
    </row>
    <row r="132" spans="2:11">
      <c r="C132" s="1"/>
      <c r="D132" s="1"/>
      <c r="E132" s="1"/>
      <c r="F132" s="1"/>
      <c r="G132" s="1"/>
      <c r="I132" s="116">
        <f t="shared" si="81"/>
        <v>0</v>
      </c>
      <c r="J132" s="116">
        <f t="shared" si="82"/>
        <v>0</v>
      </c>
      <c r="K132" s="114"/>
    </row>
    <row r="133" spans="2:11">
      <c r="C133" s="1"/>
      <c r="D133" s="1"/>
      <c r="E133" s="1"/>
      <c r="F133" s="1"/>
      <c r="G133" s="1"/>
      <c r="I133" s="116">
        <f t="shared" si="81"/>
        <v>0</v>
      </c>
      <c r="J133" s="116">
        <f t="shared" si="82"/>
        <v>0</v>
      </c>
      <c r="K133" s="114"/>
    </row>
    <row r="134" spans="2:11">
      <c r="B134" s="126"/>
      <c r="C134" s="1"/>
      <c r="D134" s="1"/>
      <c r="E134" s="1"/>
      <c r="F134" s="1"/>
      <c r="G134" s="1"/>
      <c r="I134" s="116"/>
      <c r="J134" s="114"/>
      <c r="K134" s="114"/>
    </row>
    <row r="136" spans="2:11">
      <c r="B136" s="126"/>
      <c r="C136" s="125"/>
      <c r="D136" s="125"/>
      <c r="E136" s="125"/>
      <c r="F136" s="125"/>
      <c r="G136" s="125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6"/>
      <c r="C141" s="125"/>
      <c r="D141" s="125"/>
      <c r="E141" s="125"/>
      <c r="F141" s="125"/>
      <c r="G141" s="125"/>
    </row>
    <row r="144" spans="2:11">
      <c r="B144" s="114"/>
      <c r="K144" s="114"/>
    </row>
    <row r="145" spans="2:15">
      <c r="C145" s="122"/>
      <c r="D145" s="122"/>
      <c r="E145" s="122"/>
      <c r="F145" s="122"/>
      <c r="G145" s="122"/>
      <c r="L145" s="122"/>
      <c r="M145" s="122"/>
      <c r="N145" s="122"/>
      <c r="O145" s="122"/>
    </row>
    <row r="146" spans="2:15">
      <c r="B146" s="126"/>
      <c r="C146" s="1"/>
      <c r="D146" s="1"/>
      <c r="E146" s="1"/>
      <c r="F146" s="1"/>
      <c r="G146" s="1"/>
      <c r="L146" s="128"/>
      <c r="M146" s="128"/>
      <c r="N146" s="128"/>
      <c r="O146" s="128"/>
    </row>
    <row r="147" spans="2:15">
      <c r="C147" s="1"/>
      <c r="D147" s="1"/>
      <c r="E147" s="1"/>
      <c r="F147" s="1"/>
      <c r="G147" s="1"/>
    </row>
    <row r="148" spans="2:15">
      <c r="C148" s="127"/>
      <c r="D148" s="127"/>
      <c r="E148" s="127"/>
      <c r="F148" s="127"/>
      <c r="G148" s="127"/>
    </row>
    <row r="150" spans="2:15">
      <c r="B150" s="126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6"/>
      <c r="C161" s="1"/>
      <c r="D161" s="1"/>
      <c r="E161" s="1"/>
      <c r="F161" s="1"/>
      <c r="G161" s="1"/>
    </row>
    <row r="163" spans="2:7">
      <c r="B163" s="126"/>
      <c r="C163" s="125"/>
      <c r="D163" s="125"/>
      <c r="E163" s="125"/>
      <c r="F163" s="125"/>
      <c r="G163" s="125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6"/>
      <c r="C168" s="125"/>
      <c r="D168" s="125"/>
      <c r="E168" s="125"/>
      <c r="F168" s="125"/>
      <c r="G168" s="125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R18" sqref="R18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9287.2381198185267</v>
      </c>
      <c r="E6" s="13">
        <f>'Expanded Profit and Loss'!D28+'Expanded Profit and Loss'!D27</f>
        <v>9314.9996458839905</v>
      </c>
      <c r="F6" s="13">
        <f>'Expanded Profit and Loss'!E28+'Expanded Profit and Loss'!E27</f>
        <v>9342.7857464472672</v>
      </c>
      <c r="G6" s="13">
        <f>'Expanded Profit and Loss'!F28+'Expanded Profit and Loss'!F27</f>
        <v>9370.5965648595902</v>
      </c>
      <c r="H6" s="13">
        <f>'Expanded Profit and Loss'!G28+'Expanded Profit and Loss'!G27</f>
        <v>9398.4322453084278</v>
      </c>
      <c r="I6" s="13">
        <f>'Expanded Profit and Loss'!H28+'Expanded Profit and Loss'!H27</f>
        <v>9426.2929328223163</v>
      </c>
      <c r="J6" s="13">
        <f>'Expanded Profit and Loss'!I28+'Expanded Profit and Loss'!I27</f>
        <v>9454.1787732758039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50000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125000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833.33333333333337</v>
      </c>
      <c r="E11" s="13">
        <f t="shared" ref="E11:J11" si="1">$I$36/12</f>
        <v>833.33333333333337</v>
      </c>
      <c r="F11" s="13">
        <f t="shared" si="1"/>
        <v>833.33333333333337</v>
      </c>
      <c r="G11" s="13">
        <f t="shared" si="1"/>
        <v>833.33333333333337</v>
      </c>
      <c r="H11" s="13">
        <f t="shared" si="1"/>
        <v>833.33333333333337</v>
      </c>
      <c r="I11" s="13">
        <f t="shared" si="1"/>
        <v>833.33333333333337</v>
      </c>
      <c r="J11" s="13">
        <f t="shared" si="1"/>
        <v>833.33333333333337</v>
      </c>
    </row>
    <row r="12" spans="3:10">
      <c r="C12" s="37" t="s">
        <v>23</v>
      </c>
      <c r="D12" s="26">
        <f>SUM(D9:D11)</f>
        <v>175833.33333333334</v>
      </c>
      <c r="E12" s="26">
        <f t="shared" ref="E12:J12" si="2">SUM(E9:E11)</f>
        <v>833.33333333333337</v>
      </c>
      <c r="F12" s="26">
        <f t="shared" si="2"/>
        <v>833.33333333333337</v>
      </c>
      <c r="G12" s="26">
        <f t="shared" si="2"/>
        <v>833.33333333333337</v>
      </c>
      <c r="H12" s="26">
        <f t="shared" si="2"/>
        <v>833.33333333333337</v>
      </c>
      <c r="I12" s="26">
        <f t="shared" si="2"/>
        <v>833.33333333333337</v>
      </c>
      <c r="J12" s="26">
        <f t="shared" si="2"/>
        <v>833.33333333333337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185120.57145315188</v>
      </c>
      <c r="E15" s="27">
        <f t="shared" ref="E15:J15" si="3">E6+E12</f>
        <v>10148.332979217324</v>
      </c>
      <c r="F15" s="27">
        <f t="shared" si="3"/>
        <v>10176.119079780601</v>
      </c>
      <c r="G15" s="27">
        <f t="shared" si="3"/>
        <v>10203.929898192924</v>
      </c>
      <c r="H15" s="27">
        <f t="shared" si="3"/>
        <v>10231.765578641762</v>
      </c>
      <c r="I15" s="27">
        <f t="shared" si="3"/>
        <v>10259.62626615565</v>
      </c>
      <c r="J15" s="27">
        <f t="shared" si="3"/>
        <v>10287.512106609138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722.18932356613391</v>
      </c>
      <c r="E18" s="6">
        <f>'Loan Amortization Table'!C15</f>
        <v>726.40209462026974</v>
      </c>
      <c r="F18" s="6">
        <f>'Loan Amortization Table'!C16</f>
        <v>730.63944017222127</v>
      </c>
      <c r="G18" s="6">
        <f>'Loan Amortization Table'!C17</f>
        <v>734.90150357322591</v>
      </c>
      <c r="H18" s="6">
        <f>'Loan Amortization Table'!C18</f>
        <v>739.1884290107364</v>
      </c>
      <c r="I18" s="6">
        <f>'Loan Amortization Table'!C19</f>
        <v>743.50036151329914</v>
      </c>
      <c r="J18" s="6">
        <f>'Loan Amortization Table'!C20</f>
        <v>747.83744695546</v>
      </c>
    </row>
    <row r="19" spans="3:10">
      <c r="C19" s="12" t="s">
        <v>25</v>
      </c>
      <c r="D19" s="13">
        <f>$I$44/12</f>
        <v>583.33333333333337</v>
      </c>
      <c r="E19" s="13">
        <f t="shared" ref="E19:J19" si="4">$I$44/12</f>
        <v>583.33333333333337</v>
      </c>
      <c r="F19" s="13">
        <f t="shared" si="4"/>
        <v>583.33333333333337</v>
      </c>
      <c r="G19" s="13">
        <f t="shared" si="4"/>
        <v>583.33333333333337</v>
      </c>
      <c r="H19" s="13">
        <f t="shared" si="4"/>
        <v>583.33333333333337</v>
      </c>
      <c r="I19" s="13">
        <f t="shared" si="4"/>
        <v>583.33333333333337</v>
      </c>
      <c r="J19" s="13">
        <f t="shared" si="4"/>
        <v>583.33333333333337</v>
      </c>
    </row>
    <row r="20" spans="3:10">
      <c r="C20" s="31" t="s">
        <v>33</v>
      </c>
      <c r="D20" s="6">
        <f>I45</f>
        <v>25000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26305.522656899466</v>
      </c>
      <c r="E22" s="26">
        <f t="shared" ref="E22:J22" si="5">SUM(E18:E21)</f>
        <v>1309.735427953603</v>
      </c>
      <c r="F22" s="26">
        <f t="shared" si="5"/>
        <v>1313.9727735055546</v>
      </c>
      <c r="G22" s="26">
        <f t="shared" si="5"/>
        <v>1318.2348369065594</v>
      </c>
      <c r="H22" s="26">
        <f t="shared" si="5"/>
        <v>1322.5217623440699</v>
      </c>
      <c r="I22" s="26">
        <f t="shared" si="5"/>
        <v>1326.8336948466326</v>
      </c>
      <c r="J22" s="26">
        <f t="shared" si="5"/>
        <v>1331.1707802887934</v>
      </c>
    </row>
    <row r="23" spans="3:10">
      <c r="C23" s="30"/>
    </row>
    <row r="24" spans="3:10">
      <c r="C24" s="42" t="s">
        <v>27</v>
      </c>
      <c r="D24" s="25">
        <f>D15-D22</f>
        <v>158815.04879625241</v>
      </c>
      <c r="E24" s="25">
        <f t="shared" ref="E24:J24" si="6">E15-E22</f>
        <v>8838.5975512637215</v>
      </c>
      <c r="F24" s="25">
        <f t="shared" si="6"/>
        <v>8862.1463062750463</v>
      </c>
      <c r="G24" s="25">
        <f t="shared" si="6"/>
        <v>8885.6950612863657</v>
      </c>
      <c r="H24" s="25">
        <f t="shared" si="6"/>
        <v>8909.2438162976923</v>
      </c>
      <c r="I24" s="25">
        <f t="shared" si="6"/>
        <v>8932.7925713090171</v>
      </c>
      <c r="J24" s="25">
        <f t="shared" si="6"/>
        <v>8956.3413263203438</v>
      </c>
    </row>
    <row r="25" spans="3:10">
      <c r="C25" s="42" t="s">
        <v>6</v>
      </c>
      <c r="D25" s="25">
        <f>D24</f>
        <v>158815.04879625241</v>
      </c>
      <c r="E25" s="25">
        <f>D25+E24</f>
        <v>167653.64634751613</v>
      </c>
      <c r="F25" s="25">
        <f t="shared" ref="F25:J25" si="7">E25+F24</f>
        <v>176515.79265379117</v>
      </c>
      <c r="G25" s="25">
        <f t="shared" si="7"/>
        <v>185401.48771507753</v>
      </c>
      <c r="H25" s="25">
        <f t="shared" si="7"/>
        <v>194310.73153137523</v>
      </c>
      <c r="I25" s="25">
        <f t="shared" si="7"/>
        <v>203243.52410268426</v>
      </c>
      <c r="J25" s="25">
        <f t="shared" si="7"/>
        <v>212199.8654290046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9482.0899133943694</v>
      </c>
      <c r="E31" s="13">
        <f>'Expanded Profit and Loss'!D56+'Expanded Profit and Loss'!D55</f>
        <v>9510.0265007593898</v>
      </c>
      <c r="F31" s="13">
        <f>'Expanded Profit and Loss'!E56+'Expanded Profit and Loss'!E55</f>
        <v>9537.9886838131442</v>
      </c>
      <c r="G31" s="13">
        <f>'Expanded Profit and Loss'!F56+'Expanded Profit and Loss'!F55</f>
        <v>9565.9766118638145</v>
      </c>
      <c r="H31" s="13">
        <f>'Expanded Profit and Loss'!G56+'Expanded Profit and Loss'!G55</f>
        <v>9593.9904350905472</v>
      </c>
      <c r="I31" s="13">
        <f>'Cash Flow Analysis'!E6</f>
        <v>113284.5961733372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50000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125000</v>
      </c>
      <c r="J35" s="30"/>
    </row>
    <row r="36" spans="3:10">
      <c r="C36" s="12" t="s">
        <v>22</v>
      </c>
      <c r="D36" s="13">
        <f>$I$36/12</f>
        <v>833.33333333333337</v>
      </c>
      <c r="E36" s="13">
        <f t="shared" ref="E36:H36" si="11">$I$36/12</f>
        <v>833.33333333333337</v>
      </c>
      <c r="F36" s="13">
        <f t="shared" si="11"/>
        <v>833.33333333333337</v>
      </c>
      <c r="G36" s="13">
        <f t="shared" si="11"/>
        <v>833.33333333333337</v>
      </c>
      <c r="H36" s="13">
        <f t="shared" si="11"/>
        <v>833.33333333333337</v>
      </c>
      <c r="I36" s="20">
        <f>'Cash Flow Analysis'!E11</f>
        <v>10000</v>
      </c>
      <c r="J36" s="30"/>
    </row>
    <row r="37" spans="3:10">
      <c r="C37" s="37" t="s">
        <v>23</v>
      </c>
      <c r="D37" s="26">
        <f>SUM(D34:D36)</f>
        <v>833.33333333333337</v>
      </c>
      <c r="E37" s="26">
        <f t="shared" ref="E37:H37" si="12">SUM(E34:E36)</f>
        <v>833.33333333333337</v>
      </c>
      <c r="F37" s="26">
        <f t="shared" si="12"/>
        <v>833.33333333333337</v>
      </c>
      <c r="G37" s="26">
        <f t="shared" si="12"/>
        <v>833.33333333333337</v>
      </c>
      <c r="H37" s="26">
        <f t="shared" si="12"/>
        <v>833.33333333333337</v>
      </c>
      <c r="I37" s="44">
        <f>'Cash Flow Analysis'!E12</f>
        <v>185000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10315.423246727703</v>
      </c>
      <c r="E40" s="27">
        <f t="shared" ref="E40:H40" si="13">E31+E37</f>
        <v>10343.359834092724</v>
      </c>
      <c r="F40" s="27">
        <f t="shared" si="13"/>
        <v>10371.322017146478</v>
      </c>
      <c r="G40" s="27">
        <f t="shared" si="13"/>
        <v>10399.309945197148</v>
      </c>
      <c r="H40" s="27">
        <f t="shared" si="13"/>
        <v>10427.323768423881</v>
      </c>
      <c r="I40" s="36">
        <f>'Cash Flow Analysis'!E15</f>
        <v>298284.5961733372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752.19983206270024</v>
      </c>
      <c r="E43" s="6">
        <f>'Loan Amortization Table'!C22</f>
        <v>756.58766441639932</v>
      </c>
      <c r="F43" s="6">
        <f>'Loan Amortization Table'!C23</f>
        <v>761.00109245882823</v>
      </c>
      <c r="G43" s="6">
        <f>'Loan Amortization Table'!C24</f>
        <v>765.44026549817147</v>
      </c>
      <c r="H43" s="6">
        <f>'Loan Amortization Table'!C25</f>
        <v>769.90533371357742</v>
      </c>
      <c r="I43" s="6">
        <f>'Cash Flow Analysis'!E18</f>
        <v>8949.7927875610221</v>
      </c>
      <c r="J43" s="30"/>
    </row>
    <row r="44" spans="3:10">
      <c r="C44" s="12" t="s">
        <v>25</v>
      </c>
      <c r="D44" s="13">
        <f>$I$44/12</f>
        <v>583.33333333333337</v>
      </c>
      <c r="E44" s="13">
        <f t="shared" ref="E44:H44" si="14">$I$44/12</f>
        <v>583.33333333333337</v>
      </c>
      <c r="F44" s="13">
        <f t="shared" si="14"/>
        <v>583.33333333333337</v>
      </c>
      <c r="G44" s="13">
        <f t="shared" si="14"/>
        <v>583.33333333333337</v>
      </c>
      <c r="H44" s="13">
        <f t="shared" si="14"/>
        <v>583.33333333333337</v>
      </c>
      <c r="I44" s="13">
        <f>'Cash Flow Analysis'!E19</f>
        <v>7000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25000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79299.217321336037</v>
      </c>
      <c r="I46" s="13">
        <f>'Cash Flow Analysis'!E21</f>
        <v>79299.217321336037</v>
      </c>
      <c r="J46" s="30"/>
    </row>
    <row r="47" spans="3:10">
      <c r="C47" s="37" t="s">
        <v>26</v>
      </c>
      <c r="D47" s="26">
        <f>SUM(D43:D46)</f>
        <v>1335.5331653960336</v>
      </c>
      <c r="E47" s="26">
        <f t="shared" ref="E47:H47" si="15">SUM(E43:E46)</f>
        <v>1339.9209977497326</v>
      </c>
      <c r="F47" s="26">
        <f t="shared" si="15"/>
        <v>1344.3344257921617</v>
      </c>
      <c r="G47" s="26">
        <f t="shared" si="15"/>
        <v>1348.7735988315048</v>
      </c>
      <c r="H47" s="26">
        <f t="shared" si="15"/>
        <v>80652.45598838295</v>
      </c>
      <c r="I47" s="26">
        <f>'Cash Flow Analysis'!E22</f>
        <v>120249.01010889706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8979.8900813316704</v>
      </c>
      <c r="E49" s="25">
        <f t="shared" ref="E49:H49" si="16">E40-E47</f>
        <v>9003.4388363429916</v>
      </c>
      <c r="F49" s="25">
        <f t="shared" si="16"/>
        <v>9026.9875913543165</v>
      </c>
      <c r="G49" s="25">
        <f t="shared" si="16"/>
        <v>9050.5363463656431</v>
      </c>
      <c r="H49" s="25">
        <f t="shared" si="16"/>
        <v>-70225.132219959065</v>
      </c>
      <c r="I49" s="45">
        <f>'Cash Flow Analysis'!E24</f>
        <v>178035.58606444014</v>
      </c>
      <c r="J49" s="30"/>
    </row>
    <row r="50" spans="3:10">
      <c r="C50" s="42" t="s">
        <v>6</v>
      </c>
      <c r="D50" s="25">
        <f>J25+D49</f>
        <v>221179.75551033625</v>
      </c>
      <c r="E50" s="25">
        <f>D50+E49</f>
        <v>230183.19434667926</v>
      </c>
      <c r="F50" s="25">
        <f t="shared" ref="F50:H50" si="17">E50+F49</f>
        <v>239210.18193803358</v>
      </c>
      <c r="G50" s="25">
        <f t="shared" si="17"/>
        <v>248260.71828439922</v>
      </c>
      <c r="H50" s="25">
        <f t="shared" si="17"/>
        <v>178035.58606444014</v>
      </c>
      <c r="I50" s="45">
        <f>'Cash Flow Analysis'!E25</f>
        <v>178035.58606444014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44312.807400938364</v>
      </c>
      <c r="E58" s="48">
        <f>'Expanded Profit and Loss'!D84+'Expanded Profit and Loss'!D83</f>
        <v>44353.939843388143</v>
      </c>
      <c r="F58" s="48">
        <f>'Expanded Profit and Loss'!E84+'Expanded Profit and Loss'!E83</f>
        <v>44395.796310682228</v>
      </c>
      <c r="G58" s="48">
        <f>'Expanded Profit and Loss'!F84+'Expanded Profit and Loss'!F83</f>
        <v>44438.389547309984</v>
      </c>
      <c r="H58" s="46">
        <f>'Cash Flow Analysis'!F6</f>
        <v>177500.93310231873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2550</v>
      </c>
      <c r="E63" s="49">
        <f>$H$63/4</f>
        <v>2550</v>
      </c>
      <c r="F63" s="49">
        <f>$H$63/4</f>
        <v>2550</v>
      </c>
      <c r="G63" s="49">
        <f>$H$63/4</f>
        <v>2550</v>
      </c>
      <c r="H63" s="13">
        <f>'Cash Flow Analysis'!F11</f>
        <v>10200</v>
      </c>
    </row>
    <row r="64" spans="3:10">
      <c r="C64" s="37" t="s">
        <v>23</v>
      </c>
      <c r="D64" s="51">
        <f>SUM(D61:D63)</f>
        <v>2550</v>
      </c>
      <c r="E64" s="51">
        <f t="shared" ref="E64:G64" si="18">SUM(E61:E63)</f>
        <v>2550</v>
      </c>
      <c r="F64" s="51">
        <f t="shared" si="18"/>
        <v>2550</v>
      </c>
      <c r="G64" s="51">
        <f t="shared" si="18"/>
        <v>2550</v>
      </c>
      <c r="H64" s="32">
        <f>'Cash Flow Analysis'!F12</f>
        <v>10200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46862.807400938364</v>
      </c>
      <c r="E67" s="48">
        <f t="shared" ref="E67:G67" si="19">E58+E64</f>
        <v>46903.939843388143</v>
      </c>
      <c r="F67" s="48">
        <f t="shared" si="19"/>
        <v>46945.796310682228</v>
      </c>
      <c r="G67" s="48">
        <f t="shared" si="19"/>
        <v>46988.389547309984</v>
      </c>
      <c r="H67" s="27">
        <f>'Cash Flow Analysis'!F15</f>
        <v>187700.93310231873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2336.7676333137738</v>
      </c>
      <c r="E70" s="50">
        <f>SUM('Loan Amortization Table'!C29:C31)</f>
        <v>2377.9000757635558</v>
      </c>
      <c r="F70" s="50">
        <f>SUM('Loan Amortization Table'!C32:C34)</f>
        <v>2419.7565430576419</v>
      </c>
      <c r="G70" s="50">
        <f>SUM('Loan Amortization Table'!C35:C37)</f>
        <v>2462.3497796853921</v>
      </c>
      <c r="H70" s="32">
        <f>'Cash Flow Analysis'!F18</f>
        <v>9596.7740318203614</v>
      </c>
    </row>
    <row r="71" spans="3:8">
      <c r="C71" s="12" t="s">
        <v>25</v>
      </c>
      <c r="D71" s="49">
        <f>$H$71/4</f>
        <v>1785</v>
      </c>
      <c r="E71" s="49">
        <f>$H$71/4</f>
        <v>1785</v>
      </c>
      <c r="F71" s="49">
        <f>$H$71/4</f>
        <v>1785</v>
      </c>
      <c r="G71" s="49">
        <f>$H$71/4</f>
        <v>1785</v>
      </c>
      <c r="H71" s="13">
        <f>'Cash Flow Analysis'!F19</f>
        <v>7140</v>
      </c>
    </row>
    <row r="72" spans="3:8">
      <c r="C72" s="31" t="s">
        <v>33</v>
      </c>
      <c r="D72" s="50">
        <f>H72</f>
        <v>8875.046655115937</v>
      </c>
      <c r="E72" s="50">
        <v>0</v>
      </c>
      <c r="F72" s="50">
        <v>0</v>
      </c>
      <c r="G72" s="50">
        <v>0</v>
      </c>
      <c r="H72" s="32">
        <f>'Cash Flow Analysis'!F20</f>
        <v>8875.046655115937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124250.6531716231</v>
      </c>
      <c r="H73" s="13">
        <f>'Cash Flow Analysis'!F21</f>
        <v>124250.6531716231</v>
      </c>
    </row>
    <row r="74" spans="3:8">
      <c r="C74" s="37" t="s">
        <v>26</v>
      </c>
      <c r="D74" s="51">
        <f>SUM(D70:D73)</f>
        <v>12996.81428842971</v>
      </c>
      <c r="E74" s="51">
        <f t="shared" ref="E74:G74" si="20">SUM(E70:E73)</f>
        <v>4162.9000757635558</v>
      </c>
      <c r="F74" s="51">
        <f t="shared" si="20"/>
        <v>4204.7565430576415</v>
      </c>
      <c r="G74" s="51">
        <f t="shared" si="20"/>
        <v>128498.00295130849</v>
      </c>
      <c r="H74" s="34">
        <f>'Cash Flow Analysis'!F22</f>
        <v>149862.47385855939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33865.993112508651</v>
      </c>
      <c r="E76" s="52">
        <f t="shared" ref="E76:G76" si="21">E67-E74</f>
        <v>42741.039767624585</v>
      </c>
      <c r="F76" s="52">
        <f t="shared" si="21"/>
        <v>42741.039767624585</v>
      </c>
      <c r="G76" s="52">
        <f t="shared" si="21"/>
        <v>-81509.613403998505</v>
      </c>
      <c r="H76" s="40">
        <f>'Cash Flow Analysis'!F24</f>
        <v>37838.459243759338</v>
      </c>
    </row>
    <row r="77" spans="3:8">
      <c r="C77" s="42" t="s">
        <v>6</v>
      </c>
      <c r="D77" s="52">
        <f>I50+D76</f>
        <v>211901.57917694878</v>
      </c>
      <c r="E77" s="52">
        <f>D77+E76</f>
        <v>254642.61894457336</v>
      </c>
      <c r="F77" s="52">
        <f t="shared" ref="F77:G77" si="22">E77+F76</f>
        <v>297383.65871219797</v>
      </c>
      <c r="G77" s="52">
        <f t="shared" si="22"/>
        <v>215874.04530819948</v>
      </c>
      <c r="H77" s="40">
        <f>'Cash Flow Analysis'!F25</f>
        <v>215874.04530819948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58403.252751713902</v>
      </c>
      <c r="E84" s="48">
        <f>'Expanded Profit and Loss'!D114+'Expanded Profit and Loss'!D113</f>
        <v>58447.358661754195</v>
      </c>
      <c r="F84" s="48">
        <f>'Expanded Profit and Loss'!E114+'Expanded Profit and Loss'!E113</f>
        <v>58492.240936453323</v>
      </c>
      <c r="G84" s="48">
        <f>'Expanded Profit and Loss'!F114+'Expanded Profit and Loss'!F113</f>
        <v>58537.913241600821</v>
      </c>
      <c r="H84" s="27">
        <f>'Cash Flow Analysis'!G6</f>
        <v>233880.76559152227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2601</v>
      </c>
      <c r="E89" s="49">
        <f>$H$89/4</f>
        <v>2601</v>
      </c>
      <c r="F89" s="49">
        <f>$H$89/4</f>
        <v>2601</v>
      </c>
      <c r="G89" s="49">
        <f>$H$89/4</f>
        <v>2601</v>
      </c>
      <c r="H89" s="13">
        <f>'Cash Flow Analysis'!G12</f>
        <v>10404</v>
      </c>
    </row>
    <row r="90" spans="3:8">
      <c r="C90" s="37" t="s">
        <v>23</v>
      </c>
      <c r="D90" s="51">
        <f>SUM(D87:D89)</f>
        <v>2601</v>
      </c>
      <c r="E90" s="51">
        <f t="shared" ref="E90:G90" si="23">SUM(E87:E89)</f>
        <v>2601</v>
      </c>
      <c r="F90" s="51">
        <f t="shared" si="23"/>
        <v>2601</v>
      </c>
      <c r="G90" s="51">
        <f t="shared" si="23"/>
        <v>2601</v>
      </c>
      <c r="H90" s="34">
        <f>'Cash Flow Analysis'!G12</f>
        <v>10404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61004.252751713902</v>
      </c>
      <c r="E93" s="48">
        <f t="shared" ref="E93:G93" si="24">E90+E84</f>
        <v>61048.358661754195</v>
      </c>
      <c r="F93" s="48">
        <f t="shared" si="24"/>
        <v>61093.240936453323</v>
      </c>
      <c r="G93" s="48">
        <f t="shared" si="24"/>
        <v>61138.913241600821</v>
      </c>
      <c r="H93" s="27">
        <f>'Cash Flow Analysis'!G15</f>
        <v>244284.76559152227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2505.6927544682608</v>
      </c>
      <c r="E96" s="50">
        <f>SUM('Loan Amortization Table'!C41:C43)</f>
        <v>2549.7986645085521</v>
      </c>
      <c r="F96" s="50">
        <f>SUM('Loan Amortization Table'!C44:C46)</f>
        <v>2594.6809392076843</v>
      </c>
      <c r="G96" s="50">
        <f>SUM('Loan Amortization Table'!C47:C49)</f>
        <v>2640.3532443551831</v>
      </c>
      <c r="H96" s="32">
        <f>'Cash Flow Analysis'!G18</f>
        <v>10290.525602539681</v>
      </c>
    </row>
    <row r="97" spans="3:8">
      <c r="C97" s="12" t="s">
        <v>25</v>
      </c>
      <c r="D97" s="49">
        <f>$H$97/4</f>
        <v>1820.6999999999998</v>
      </c>
      <c r="E97" s="49">
        <f t="shared" ref="E97:G97" si="25">$H$97/4</f>
        <v>1820.6999999999998</v>
      </c>
      <c r="F97" s="49">
        <f t="shared" si="25"/>
        <v>1820.6999999999998</v>
      </c>
      <c r="G97" s="49">
        <f t="shared" si="25"/>
        <v>1820.6999999999998</v>
      </c>
      <c r="H97" s="13">
        <f>'Cash Flow Analysis'!G19</f>
        <v>7282.7999999999993</v>
      </c>
    </row>
    <row r="98" spans="3:8">
      <c r="C98" s="31" t="s">
        <v>33</v>
      </c>
      <c r="D98" s="50">
        <f>H98</f>
        <v>11694.038279576114</v>
      </c>
      <c r="E98" s="50">
        <v>0</v>
      </c>
      <c r="F98" s="50">
        <v>0</v>
      </c>
      <c r="G98" s="50">
        <v>0</v>
      </c>
      <c r="H98" s="32">
        <f>'Cash Flow Analysis'!G20</f>
        <v>11694.038279576114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163716.53591406558</v>
      </c>
      <c r="H99" s="13">
        <f>'Cash Flow Analysis'!G21</f>
        <v>163716.53591406558</v>
      </c>
    </row>
    <row r="100" spans="3:8">
      <c r="C100" s="37" t="s">
        <v>26</v>
      </c>
      <c r="D100" s="51">
        <f>SUM(D96:D99)</f>
        <v>16020.431034044375</v>
      </c>
      <c r="E100" s="51">
        <f t="shared" ref="E100:G100" si="26">SUM(E96:E99)</f>
        <v>4370.4986645085519</v>
      </c>
      <c r="F100" s="51">
        <f t="shared" si="26"/>
        <v>4415.3809392076837</v>
      </c>
      <c r="G100" s="51">
        <f t="shared" si="26"/>
        <v>168177.58915842077</v>
      </c>
      <c r="H100" s="34">
        <f>'Cash Flow Analysis'!G22</f>
        <v>192983.89979618136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44983.821717669525</v>
      </c>
      <c r="E102" s="52">
        <f t="shared" ref="E102:G102" si="27">E93-E100</f>
        <v>56677.859997245643</v>
      </c>
      <c r="F102" s="52">
        <f t="shared" si="27"/>
        <v>56677.859997245643</v>
      </c>
      <c r="G102" s="52">
        <f t="shared" si="27"/>
        <v>-107038.67591681995</v>
      </c>
      <c r="H102" s="40">
        <f>'Cash Flow Analysis'!G24</f>
        <v>51300.865795340913</v>
      </c>
    </row>
    <row r="103" spans="3:8">
      <c r="C103" s="42" t="s">
        <v>6</v>
      </c>
      <c r="D103" s="52">
        <f>G77+D102</f>
        <v>260857.867025869</v>
      </c>
      <c r="E103" s="52">
        <f>D103+E102</f>
        <v>317535.72702311462</v>
      </c>
      <c r="F103" s="52">
        <f t="shared" ref="F103:G103" si="28">E103+F102</f>
        <v>374213.58702036028</v>
      </c>
      <c r="G103" s="52">
        <f t="shared" si="28"/>
        <v>267174.91110354033</v>
      </c>
      <c r="H103" s="40">
        <f>'Cash Flow Analysis'!G25</f>
        <v>267174.91110354039</v>
      </c>
    </row>
    <row r="106" spans="3:8">
      <c r="C106" s="114"/>
      <c r="D106" s="114"/>
      <c r="E106" s="114"/>
      <c r="F106" s="114"/>
      <c r="G106" s="114"/>
      <c r="H106" s="114"/>
    </row>
    <row r="107" spans="3:8">
      <c r="D107" s="122"/>
      <c r="E107" s="122"/>
      <c r="F107" s="122"/>
      <c r="G107" s="122"/>
      <c r="H107" s="122"/>
    </row>
    <row r="108" spans="3:8">
      <c r="C108" s="126"/>
      <c r="D108" s="125"/>
      <c r="E108" s="125"/>
      <c r="F108" s="125"/>
      <c r="G108" s="125"/>
      <c r="H108" s="125"/>
    </row>
    <row r="110" spans="3:8">
      <c r="C110" s="126"/>
      <c r="D110" s="126"/>
      <c r="E110" s="126"/>
      <c r="F110" s="126"/>
      <c r="G110" s="126"/>
      <c r="H110" s="126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6"/>
      <c r="D114" s="125"/>
      <c r="E114" s="125"/>
      <c r="F114" s="125"/>
      <c r="G114" s="125"/>
      <c r="H114" s="125"/>
    </row>
    <row r="117" spans="3:10">
      <c r="C117" s="126"/>
      <c r="D117" s="125"/>
      <c r="E117" s="125"/>
      <c r="F117" s="125"/>
      <c r="G117" s="125"/>
      <c r="H117" s="125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6"/>
      <c r="D124" s="125"/>
      <c r="E124" s="125"/>
      <c r="F124" s="125"/>
      <c r="G124" s="125"/>
      <c r="H124" s="125"/>
    </row>
    <row r="126" spans="3:10">
      <c r="C126" s="126"/>
      <c r="D126" s="125"/>
      <c r="E126" s="125"/>
      <c r="F126" s="125"/>
      <c r="G126" s="125"/>
      <c r="H126" s="125"/>
    </row>
    <row r="127" spans="3:10">
      <c r="C127" s="126"/>
      <c r="D127" s="125"/>
      <c r="E127" s="125"/>
      <c r="F127" s="125"/>
      <c r="G127" s="125"/>
      <c r="H127" s="125"/>
    </row>
    <row r="128" spans="3:10">
      <c r="J128" s="1"/>
    </row>
    <row r="130" spans="3:8">
      <c r="C130" s="114"/>
      <c r="D130" s="114"/>
      <c r="E130" s="114"/>
      <c r="F130" s="114"/>
      <c r="G130" s="114"/>
      <c r="H130" s="114"/>
    </row>
    <row r="131" spans="3:8">
      <c r="D131" s="122"/>
      <c r="E131" s="122"/>
      <c r="F131" s="122"/>
      <c r="G131" s="122"/>
      <c r="H131" s="122"/>
    </row>
    <row r="132" spans="3:8">
      <c r="C132" s="126"/>
      <c r="D132" s="125"/>
      <c r="E132" s="125"/>
      <c r="F132" s="125"/>
      <c r="G132" s="125"/>
      <c r="H132" s="125"/>
    </row>
    <row r="134" spans="3:8">
      <c r="C134" s="126"/>
      <c r="D134" s="126"/>
      <c r="E134" s="126"/>
      <c r="F134" s="126"/>
      <c r="G134" s="126"/>
      <c r="H134" s="126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6"/>
      <c r="D138" s="125"/>
      <c r="E138" s="125"/>
      <c r="F138" s="125"/>
      <c r="G138" s="125"/>
      <c r="H138" s="125"/>
    </row>
    <row r="141" spans="3:8">
      <c r="C141" s="126"/>
      <c r="D141" s="125"/>
      <c r="E141" s="125"/>
      <c r="F141" s="125"/>
      <c r="G141" s="125"/>
      <c r="H141" s="125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6"/>
      <c r="D148" s="125"/>
      <c r="E148" s="125"/>
      <c r="F148" s="125"/>
      <c r="G148" s="125"/>
      <c r="H148" s="125"/>
    </row>
    <row r="150" spans="3:8">
      <c r="C150" s="126"/>
      <c r="D150" s="125"/>
      <c r="E150" s="125"/>
      <c r="F150" s="125"/>
      <c r="G150" s="125"/>
      <c r="H150" s="125"/>
    </row>
    <row r="151" spans="3:8">
      <c r="C151" s="126"/>
      <c r="D151" s="125"/>
      <c r="E151" s="125"/>
      <c r="F151" s="125"/>
      <c r="G151" s="125"/>
      <c r="H151" s="12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2025-10-01T19:04:49Z</dcterms:modified>
</cp:coreProperties>
</file>