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Medical Spa\"/>
    </mc:Choice>
  </mc:AlternateContent>
  <xr:revisionPtr revIDLastSave="0" documentId="13_ncr:1_{44FAB891-1CBC-460C-8D11-B51720D85565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7" l="1"/>
  <c r="M36" i="7"/>
  <c r="L37" i="7"/>
  <c r="M37" i="7"/>
  <c r="L38" i="7"/>
  <c r="M38" i="7"/>
  <c r="L39" i="7"/>
  <c r="M39" i="7"/>
  <c r="L40" i="7"/>
  <c r="M40" i="7"/>
  <c r="B25" i="7"/>
  <c r="B26" i="7"/>
  <c r="B27" i="7"/>
  <c r="B28" i="7"/>
  <c r="B29" i="7"/>
  <c r="G11" i="7" s="1"/>
  <c r="B30" i="7"/>
  <c r="B31" i="7"/>
  <c r="B32" i="7"/>
  <c r="G14" i="7" s="1"/>
  <c r="G26" i="7" s="1"/>
  <c r="B33" i="7"/>
  <c r="G15" i="7" s="1"/>
  <c r="G27" i="7" s="1"/>
  <c r="H8" i="14"/>
  <c r="G8" i="14"/>
  <c r="C33" i="23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L32" i="7" s="1"/>
  <c r="G8" i="7"/>
  <c r="G20" i="7" s="1"/>
  <c r="G9" i="7"/>
  <c r="L34" i="7" s="1"/>
  <c r="G6" i="7"/>
  <c r="D33" i="23" l="1"/>
  <c r="D52" i="23" s="1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<sst xmlns="http://schemas.openxmlformats.org/spreadsheetml/2006/main" count="316" uniqueCount="137">
  <si>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</si>
  <si>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</si>
  <si>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</si>
  <si>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</si>
  <si>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</si>
  <si>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</si>
  <si>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</si>
  <si>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</si>
  <si>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</si>
  <si>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</si>
  <si>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</si>
  <si>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</si>
  <si>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</si>
  <si>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</si>
  <si>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</si>
  <si>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</si>
  <si>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</si>
  <si>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</si>
  <si>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</si>
  <si>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</si>
  <si>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</si>
  <si>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</si>
  <si>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</si>
  <si>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</si>
  <si>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</si>
  <si>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</si>
  <si>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</si>
  <si>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</si>
  <si>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</si>
  <si>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</si>
  <si>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</si>
  <si>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</si>
  <si>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</si>
  <si>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</si>
  <si>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</si>
  <si>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</si>
  <si>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</si>
  <si>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</si>
  <si>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</si>
  <si>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</si>
  <si>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</si>
  <si>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</si>
  <si>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</si>
  <si>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</si>
  <si>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</si>
  <si>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</si>
  <si>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</si>
  <si>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</si>
  <si>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</si>
  <si>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</si>
  <si>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</si>
  <si>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</si>
  <si>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</si>
  <si>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</si>
  <si>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</si>
  <si>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</si>
  <si>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</si>
  <si>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</si>
  <si>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</si>
  <si>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</si>
  <si>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</si>
  <si>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</si>
  <si>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</si>
  <si>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</si>
  <si>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</si>
  <si>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</si>
  <si>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</si>
  <si>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</si>
  <si>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</si>
  <si>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</si>
  <si>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</si>
  <si>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</si>
  <si>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</si>
  <si>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</si>
  <si>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</si>
  <si>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</si>
  <si>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</si>
  <si>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</si>
  <si>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</si>
  <si>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</si>
  <si>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</si>
  <si>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</si>
  <si>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</si>
  <si>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</si>
  <si>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</si>
  <si>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</si>
  <si>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</si>
  <si>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</si>
  <si>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</si>
  <si>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</si>
  <si>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</si>
  <si>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</si>
  <si>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</si>
  <si>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</si>
  <si>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</si>
  <si>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</si>
  <si>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</si>
  <si>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</si>
  <si>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</si>
  <si>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</si>
  <si>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</si>
  <si>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</si>
  <si>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</si>
  <si>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</si>
  <si>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</si>
  <si>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</si>
  <si>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</si>
  <si>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</si>
  <si>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</si>
  <si>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</si>
  <si>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</si>
  <si>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</si>
  <si>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</si>
  <si>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</si>
  <si>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</si>
  <si>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Initial Marketing</t>
  </si>
  <si>
    <t>Equipment</t>
  </si>
  <si>
    <t>Initial Payroll</t>
  </si>
  <si>
    <t>Facility Costs</t>
  </si>
  <si>
    <t>Marketing</t>
  </si>
  <si>
    <t>Equipment Costs</t>
  </si>
  <si>
    <t>Position 6</t>
  </si>
  <si>
    <t>Position 10</t>
  </si>
  <si>
    <t>Fixed Assets</t>
  </si>
  <si>
    <t>Yearly Growth Rate</t>
  </si>
  <si>
    <t>Administrative Staff</t>
  </si>
  <si>
    <t>Owner</t>
  </si>
  <si>
    <t>Assistants</t>
  </si>
  <si>
    <t>Billing Staff</t>
  </si>
  <si>
    <t>Staff Nurses</t>
  </si>
  <si>
    <t>Medical Spa Services</t>
  </si>
  <si>
    <t>Product Sales</t>
  </si>
  <si>
    <t>6021 Media Holdings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</si>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</sst>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0" fontId="11" fillId="0" borderId="0" xfId="2"/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176602.61755583045</c:v>
                </c:pt>
                <c:pt idx="1">
                  <c:v>290560.63078204007</c:v>
                </c:pt>
                <c:pt idx="2">
                  <c:v>390921.83001479757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9695.0880405170501</c:v>
                </c:pt>
                <c:pt idx="1">
                  <c:v>10604.554172245003</c:v>
                </c:pt>
                <c:pt idx="2">
                  <c:v>11599.334500327186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123621.83228908131</c:v>
                </c:pt>
                <c:pt idx="1">
                  <c:v>203392.44154742802</c:v>
                </c:pt>
                <c:pt idx="2">
                  <c:v>273645.2810103583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176602.61755583045</c:v>
                </c:pt>
                <c:pt idx="1">
                  <c:v>290560.63078204007</c:v>
                </c:pt>
                <c:pt idx="2">
                  <c:v>390921.83001479757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9E7F-46CA-ABB3-253705A34E9B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9E7F-46CA-ABB3-253705A34E9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123621.83228908131</c:v>
                </c:pt>
                <c:pt idx="1">
                  <c:v>203392.44154742802</c:v>
                </c:pt>
                <c:pt idx="2">
                  <c:v>273645.2810103583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211285.69722623209</c:v>
                </c:pt>
                <c:pt idx="1">
                  <c:v>143304.911959483</c:v>
                </c:pt>
                <c:pt idx="2">
                  <c:v>67980.785266749095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280909.33228859917</c:v>
                </c:pt>
                <c:pt idx="1">
                  <c:v>135760.35778723797</c:v>
                </c:pt>
                <c:pt idx="2">
                  <c:v>145148.9745013612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379707.7467927112</c:v>
                </c:pt>
                <c:pt idx="1">
                  <c:v>127282.2232869108</c:v>
                </c:pt>
                <c:pt idx="2">
                  <c:v>252425.5235058004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7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211285.69722623209</c:v>
                </c:pt>
                <c:pt idx="1">
                  <c:v>280909.33228859917</c:v>
                </c:pt>
                <c:pt idx="2">
                  <c:v>379707.7467927112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2-4B18-AF84-5E4E3B099477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7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143304.911959483</c:v>
                </c:pt>
                <c:pt idx="1">
                  <c:v>135760.35778723797</c:v>
                </c:pt>
                <c:pt idx="2">
                  <c:v>127282.2232869108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2-4B18-AF84-5E4E3B099477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67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67980.785266749095</c:v>
                </c:pt>
                <c:pt idx="1">
                  <c:v>145148.9745013612</c:v>
                </c:pt>
                <c:pt idx="2">
                  <c:v>252425.5235058004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72-4B18-AF84-5E4E3B099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9719983"/>
        <c:axId val="1768268079"/>
      </c:barChart>
      <c:catAx>
        <c:axId val="191971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268079"/>
        <c:crosses val="autoZero"/>
        <c:auto val="1"/>
        <c:lblAlgn val="ctr"/>
        <c:lblOffset val="100"/>
        <c:noMultiLvlLbl val="0"/>
      </c:catAx>
      <c:valAx>
        <c:axId val="176826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719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734533.0625263158</c:v>
                </c:pt>
                <c:pt idx="1">
                  <c:v>766002.16187368438</c:v>
                </c:pt>
                <c:pt idx="2">
                  <c:v>797819.68247052631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734533.0625263158</c:v>
                </c:pt>
                <c:pt idx="1">
                  <c:v>766002.16187368438</c:v>
                </c:pt>
                <c:pt idx="2">
                  <c:v>797819.68247052631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1009386</c:v>
                </c:pt>
                <c:pt idx="1">
                  <c:v>1211263.2</c:v>
                </c:pt>
                <c:pt idx="2">
                  <c:v>1392952.68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697806.4094</c:v>
                </c:pt>
                <c:pt idx="1">
                  <c:v>727702.05378000007</c:v>
                </c:pt>
                <c:pt idx="2">
                  <c:v>757928.69834699994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261110.29059999995</c:v>
                </c:pt>
                <c:pt idx="1">
                  <c:v>422997.98621999996</c:v>
                </c:pt>
                <c:pt idx="2">
                  <c:v>565376.34765299992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1009386</c:v>
                </c:pt>
                <c:pt idx="1">
                  <c:v>1211263.2</c:v>
                </c:pt>
                <c:pt idx="2">
                  <c:v>1392952.68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261110.29059999995</c:v>
                </c:pt>
                <c:pt idx="1">
                  <c:v>422997.98621999996</c:v>
                </c:pt>
                <c:pt idx="2">
                  <c:v>565376.34765299992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697806.4094</c:v>
                </c:pt>
                <c:pt idx="1">
                  <c:v>727702.05378000007</c:v>
                </c:pt>
                <c:pt idx="2">
                  <c:v>757928.69834699994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Medical Spa Services</c:v>
                </c:pt>
                <c:pt idx="1">
                  <c:v>Product Sales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7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211285.69722623209</c:v>
                </c:pt>
                <c:pt idx="1">
                  <c:v>280909.33228859917</c:v>
                </c:pt>
                <c:pt idx="2">
                  <c:v>379707.7467927112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1-4EA8-9F0C-EA53A2F8CEC0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7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143304.911959483</c:v>
                </c:pt>
                <c:pt idx="1">
                  <c:v>135760.35778723797</c:v>
                </c:pt>
                <c:pt idx="2">
                  <c:v>127282.2232869108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1-4EA8-9F0C-EA53A2F8CEC0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67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67980.785266749095</c:v>
                </c:pt>
                <c:pt idx="1">
                  <c:v>145148.9745013612</c:v>
                </c:pt>
                <c:pt idx="2">
                  <c:v>252425.5235058004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1-4EA8-9F0C-EA53A2F8C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9719983"/>
        <c:axId val="1768268079"/>
      </c:barChart>
      <c:catAx>
        <c:axId val="191971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268079"/>
        <c:crosses val="autoZero"/>
        <c:auto val="1"/>
        <c:lblAlgn val="ctr"/>
        <c:lblOffset val="100"/>
        <c:noMultiLvlLbl val="0"/>
      </c:catAx>
      <c:valAx>
        <c:axId val="176826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719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Owner</c:v>
                </c:pt>
                <c:pt idx="1">
                  <c:v>Staff Nurses</c:v>
                </c:pt>
                <c:pt idx="2">
                  <c:v>Assistants</c:v>
                </c:pt>
                <c:pt idx="3">
                  <c:v>Billing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0.28436018957345971</c:v>
                </c:pt>
                <c:pt idx="1">
                  <c:v>0.1895734597156398</c:v>
                </c:pt>
                <c:pt idx="2">
                  <c:v>0.28436018957345971</c:v>
                </c:pt>
                <c:pt idx="3">
                  <c:v>7.1090047393364927E-2</c:v>
                </c:pt>
                <c:pt idx="4">
                  <c:v>0.17061611374407584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Medical Spa Services</c:v>
                </c:pt>
                <c:pt idx="1">
                  <c:v>Product Sales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Equipment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50000</c:v>
                </c:pt>
                <c:pt idx="1">
                  <c:v>50000</c:v>
                </c:pt>
                <c:pt idx="2">
                  <c:v>35000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1009386</c:v>
                </c:pt>
                <c:pt idx="1">
                  <c:v>1211263.2</c:v>
                </c:pt>
                <c:pt idx="2">
                  <c:v>1392952.68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697806.4094</c:v>
                </c:pt>
                <c:pt idx="1">
                  <c:v>727702.05378000007</c:v>
                </c:pt>
                <c:pt idx="2">
                  <c:v>757928.69834699994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261110.29059999995</c:v>
                </c:pt>
                <c:pt idx="1">
                  <c:v>422997.98621999996</c:v>
                </c:pt>
                <c:pt idx="2">
                  <c:v>565376.34765299992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1009386</c:v>
                </c:pt>
                <c:pt idx="1">
                  <c:v>1211263.2</c:v>
                </c:pt>
                <c:pt idx="2">
                  <c:v>1392952.68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261110.29059999995</c:v>
                </c:pt>
                <c:pt idx="1">
                  <c:v>422997.98621999996</c:v>
                </c:pt>
                <c:pt idx="2">
                  <c:v>565376.34765299992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697806.4094</c:v>
                </c:pt>
                <c:pt idx="1">
                  <c:v>727702.05378000007</c:v>
                </c:pt>
                <c:pt idx="2">
                  <c:v>757928.69834699994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176602.61755583045</c:v>
                </c:pt>
                <c:pt idx="1">
                  <c:v>290560.63078204007</c:v>
                </c:pt>
                <c:pt idx="2">
                  <c:v>390921.83001479757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9695.0880405170501</c:v>
                </c:pt>
                <c:pt idx="1">
                  <c:v>10604.554172245003</c:v>
                </c:pt>
                <c:pt idx="2">
                  <c:v>11599.334500327186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123621.83228908131</c:v>
                </c:pt>
                <c:pt idx="1">
                  <c:v>203392.44154742802</c:v>
                </c:pt>
                <c:pt idx="2">
                  <c:v>273645.2810103583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176602.61755583045</c:v>
                </c:pt>
                <c:pt idx="1">
                  <c:v>290560.63078204007</c:v>
                </c:pt>
                <c:pt idx="2">
                  <c:v>390921.83001479757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9596-4FF9-AB37-C8A9812FD99A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9596-4FF9-AB37-C8A9812FD99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123621.83228908131</c:v>
                </c:pt>
                <c:pt idx="1">
                  <c:v>203392.44154742802</c:v>
                </c:pt>
                <c:pt idx="2">
                  <c:v>273645.2810103583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561975</xdr:colOff>
      <xdr:row>2</xdr:row>
      <xdr:rowOff>114299</xdr:rowOff>
    </xdr:from>
    <xdr:to>
      <xdr:col>21</xdr:col>
      <xdr:colOff>438149</xdr:colOff>
      <xdr:row>13</xdr:row>
      <xdr:rowOff>19048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AAFDBD-FDB3-4AE8-9C85-7E8F2B211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17</xdr:col>
      <xdr:colOff>76200</xdr:colOff>
      <xdr:row>29</xdr:row>
      <xdr:rowOff>95250</xdr:rowOff>
    </xdr:from>
    <xdr:to>
      <xdr:col>21</xdr:col>
      <xdr:colOff>152400</xdr:colOff>
      <xdr:row>38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2205CA-56EE-442C-A2C6-18EF39B6E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5" y="5619750"/>
          <a:ext cx="251460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428625</xdr:colOff>
      <xdr:row>1</xdr:row>
      <xdr:rowOff>0</xdr:rowOff>
    </xdr:from>
    <xdr:to>
      <xdr:col>22</xdr:col>
      <xdr:colOff>209550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8521CF-EB4E-FCC9-DD0A-EA8F9800B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190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295275</xdr:colOff>
      <xdr:row>2</xdr:row>
      <xdr:rowOff>85725</xdr:rowOff>
    </xdr:from>
    <xdr:to>
      <xdr:col>26</xdr:col>
      <xdr:colOff>76200</xdr:colOff>
      <xdr:row>13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101E2-CF73-3AF2-57CF-6CA1BBC9E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4667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157162</xdr:rowOff>
    </xdr:from>
    <xdr:to>
      <xdr:col>10</xdr:col>
      <xdr:colOff>485775</xdr:colOff>
      <xdr:row>28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0</xdr:colOff>
      <xdr:row>1</xdr:row>
      <xdr:rowOff>161925</xdr:rowOff>
    </xdr:from>
    <xdr:to>
      <xdr:col>25</xdr:col>
      <xdr:colOff>390525</xdr:colOff>
      <xdr:row>12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AE2701-6A04-679A-37D9-82EC92A30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425" y="3524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1</xdr:row>
      <xdr:rowOff>28575</xdr:rowOff>
    </xdr:from>
    <xdr:to>
      <xdr:col>26</xdr:col>
      <xdr:colOff>85725</xdr:colOff>
      <xdr:row>12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762D00-C1ED-C58D-4392-38BD9A1BE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150" y="2190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142874</xdr:colOff>
      <xdr:row>3</xdr:row>
      <xdr:rowOff>14286</xdr:rowOff>
    </xdr:from>
    <xdr:to>
      <xdr:col>19</xdr:col>
      <xdr:colOff>38099</xdr:colOff>
      <xdr:row>27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28</xdr:row>
      <xdr:rowOff>114300</xdr:rowOff>
    </xdr:from>
    <xdr:to>
      <xdr:col>13</xdr:col>
      <xdr:colOff>76200</xdr:colOff>
      <xdr:row>39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FF8252-D760-43B1-E535-B4AC11976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54483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16</xdr:row>
      <xdr:rowOff>0</xdr:rowOff>
    </xdr:from>
    <xdr:to>
      <xdr:col>12</xdr:col>
      <xdr:colOff>323850</xdr:colOff>
      <xdr:row>27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D76220-3DCA-2F2E-B072-CEDC2ABA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30480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2</xdr:row>
      <xdr:rowOff>38100</xdr:rowOff>
    </xdr:from>
    <xdr:to>
      <xdr:col>20</xdr:col>
      <xdr:colOff>228600</xdr:colOff>
      <xdr:row>26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400050</xdr:colOff>
      <xdr:row>0</xdr:row>
      <xdr:rowOff>0</xdr:rowOff>
    </xdr:from>
    <xdr:to>
      <xdr:col>26</xdr:col>
      <xdr:colOff>180975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0B4475-3ABF-2BA4-DEFB-963747E1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238125</xdr:colOff>
      <xdr:row>0</xdr:row>
      <xdr:rowOff>0</xdr:rowOff>
    </xdr:from>
    <xdr:to>
      <xdr:col>24</xdr:col>
      <xdr:colOff>19050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ED957-2733-A3FC-D0F9-8592824A8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090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266700</xdr:colOff>
      <xdr:row>0</xdr:row>
      <xdr:rowOff>142875</xdr:rowOff>
    </xdr:from>
    <xdr:to>
      <xdr:col>25</xdr:col>
      <xdr:colOff>47625</xdr:colOff>
      <xdr:row>11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0755C7-A3ED-B8C0-3A51-23E1124A0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1428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19</xdr:row>
      <xdr:rowOff>109537</xdr:rowOff>
    </xdr:from>
    <xdr:to>
      <xdr:col>7</xdr:col>
      <xdr:colOff>76200</xdr:colOff>
      <xdr:row>33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673243-BEE6-56C3-1EEE-87971F212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66675</xdr:colOff>
      <xdr:row>2</xdr:row>
      <xdr:rowOff>85725</xdr:rowOff>
    </xdr:from>
    <xdr:to>
      <xdr:col>24</xdr:col>
      <xdr:colOff>457200</xdr:colOff>
      <xdr:row>13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163D6B-1633-F4A6-A228-2AF8D1BA0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375" y="4667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295275</xdr:colOff>
      <xdr:row>1</xdr:row>
      <xdr:rowOff>123825</xdr:rowOff>
    </xdr:from>
    <xdr:to>
      <xdr:col>24</xdr:col>
      <xdr:colOff>76200</xdr:colOff>
      <xdr:row>12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0A0CD2-68B3-EDF1-E9F7-5B4A5862C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6100" y="3143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</xdr:colOff>
      <xdr:row>1</xdr:row>
      <xdr:rowOff>85725</xdr:rowOff>
    </xdr:from>
    <xdr:to>
      <xdr:col>24</xdr:col>
      <xdr:colOff>438150</xdr:colOff>
      <xdr:row>12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3B5B-681C-C453-F3CE-A474F7E09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3700" y="2762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S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4"/>
      <c r="C3" s="144"/>
      <c r="D3" s="144"/>
      <c r="E3" s="144"/>
    </row>
    <row r="4" spans="2:5">
      <c r="B4" s="145" t="s">
        <v>111</v>
      </c>
      <c r="C4" s="145" t="s">
        <v>57</v>
      </c>
      <c r="D4" s="145" t="s">
        <v>10</v>
      </c>
      <c r="E4" s="145" t="s">
        <v>8</v>
      </c>
    </row>
    <row r="5" spans="2:5">
      <c r="B5" s="66" t="s">
        <v>130</v>
      </c>
      <c r="C5" s="146">
        <v>0.05</v>
      </c>
      <c r="D5" s="146">
        <v>0.95</v>
      </c>
      <c r="E5" s="146">
        <f>C5+D5</f>
        <v>1</v>
      </c>
    </row>
    <row r="6" spans="2:5">
      <c r="B6" s="66" t="s">
        <v>131</v>
      </c>
      <c r="C6" s="146">
        <v>0.05</v>
      </c>
      <c r="D6" s="146">
        <v>0.95</v>
      </c>
      <c r="E6" s="146">
        <f t="shared" ref="E6:E12" si="0">C6+D6</f>
        <v>1</v>
      </c>
    </row>
    <row r="7" spans="2:5">
      <c r="B7" s="66" t="s">
        <v>103</v>
      </c>
      <c r="C7" s="146">
        <v>0.05</v>
      </c>
      <c r="D7" s="146">
        <v>0.95</v>
      </c>
      <c r="E7" s="146">
        <f t="shared" si="0"/>
        <v>1</v>
      </c>
    </row>
    <row r="8" spans="2:5">
      <c r="B8" s="66" t="s">
        <v>104</v>
      </c>
      <c r="C8" s="146">
        <v>0.05</v>
      </c>
      <c r="D8" s="146">
        <v>0.95</v>
      </c>
      <c r="E8" s="146">
        <f t="shared" si="0"/>
        <v>1</v>
      </c>
    </row>
    <row r="9" spans="2:5">
      <c r="B9" s="66" t="s">
        <v>105</v>
      </c>
      <c r="C9" s="146">
        <v>0.05</v>
      </c>
      <c r="D9" s="146">
        <v>0.95</v>
      </c>
      <c r="E9" s="146">
        <f t="shared" si="0"/>
        <v>1</v>
      </c>
    </row>
    <row r="10" spans="2:5">
      <c r="B10" s="66" t="s">
        <v>106</v>
      </c>
      <c r="C10" s="146">
        <v>0.05</v>
      </c>
      <c r="D10" s="146">
        <v>0.95</v>
      </c>
      <c r="E10" s="146">
        <f t="shared" si="0"/>
        <v>1</v>
      </c>
    </row>
    <row r="11" spans="2:5">
      <c r="B11" s="66" t="s">
        <v>107</v>
      </c>
      <c r="C11" s="146">
        <v>0.05</v>
      </c>
      <c r="D11" s="146">
        <v>0.95</v>
      </c>
      <c r="E11" s="146">
        <f t="shared" si="0"/>
        <v>1</v>
      </c>
    </row>
    <row r="12" spans="2:5">
      <c r="B12" s="66" t="s">
        <v>108</v>
      </c>
      <c r="C12" s="146">
        <v>0.05</v>
      </c>
      <c r="D12" s="146">
        <v>0.95</v>
      </c>
      <c r="E12" s="146">
        <f t="shared" si="0"/>
        <v>1</v>
      </c>
    </row>
    <row r="13" spans="2:5">
      <c r="B13" s="66" t="s">
        <v>109</v>
      </c>
      <c r="C13" s="146">
        <v>0.05</v>
      </c>
      <c r="D13" s="146">
        <v>0.95</v>
      </c>
      <c r="E13" s="146">
        <f t="shared" ref="E13:E14" si="1">C13+D13</f>
        <v>1</v>
      </c>
    </row>
    <row r="14" spans="2:5">
      <c r="B14" s="66" t="s">
        <v>110</v>
      </c>
      <c r="C14" s="146">
        <v>0.05</v>
      </c>
      <c r="D14" s="146">
        <v>0.95</v>
      </c>
      <c r="E14" s="146">
        <f t="shared" si="1"/>
        <v>1</v>
      </c>
    </row>
    <row r="16" spans="2:5">
      <c r="B16" s="144"/>
      <c r="C16" s="144"/>
      <c r="D16" s="144"/>
      <c r="E16" s="144"/>
    </row>
    <row r="17" spans="2:14">
      <c r="B17" s="145" t="s">
        <v>112</v>
      </c>
      <c r="C17" s="145">
        <v>1</v>
      </c>
      <c r="D17" s="145">
        <v>2</v>
      </c>
      <c r="E17" s="145">
        <v>3</v>
      </c>
    </row>
    <row r="18" spans="2:14">
      <c r="B18" s="70" t="s">
        <v>118</v>
      </c>
      <c r="C18" s="94">
        <v>50000</v>
      </c>
      <c r="D18" s="94">
        <f>C18*1.03</f>
        <v>51500</v>
      </c>
      <c r="E18" s="94">
        <f>D18*1.03</f>
        <v>53045</v>
      </c>
    </row>
    <row r="19" spans="2:14">
      <c r="B19" s="70" t="s">
        <v>50</v>
      </c>
      <c r="C19" s="94">
        <f>'Profit and Loss Statement'!E6*0.0157</f>
        <v>15847.360199999999</v>
      </c>
      <c r="D19" s="94">
        <f>'Profit and Loss Statement'!F6*0.0157</f>
        <v>19016.832239999996</v>
      </c>
      <c r="E19" s="94">
        <f>'Profit and Loss Statement'!G6*0.0157</f>
        <v>21869.357075999997</v>
      </c>
    </row>
    <row r="20" spans="2:14">
      <c r="B20" s="70" t="s">
        <v>120</v>
      </c>
      <c r="C20" s="94">
        <f>'Profit and Loss Statement'!E6*0.0152</f>
        <v>15342.6672</v>
      </c>
      <c r="D20" s="94">
        <f>'Profit and Loss Statement'!F6*0.0152</f>
        <v>18411.200639999999</v>
      </c>
      <c r="E20" s="94">
        <f>'Profit and Loss Statement'!G6*0.0152</f>
        <v>21172.880735999999</v>
      </c>
    </row>
    <row r="21" spans="2:14">
      <c r="B21" s="70" t="s">
        <v>49</v>
      </c>
      <c r="C21" s="94">
        <f>'Personnel - Editable'!H16*0.06</f>
        <v>31650</v>
      </c>
      <c r="D21" s="94">
        <f>'Personnel - Editable'!I16*0.06</f>
        <v>32599.5</v>
      </c>
      <c r="E21" s="94">
        <f>'Personnel - Editable'!J16*0.06</f>
        <v>33577.485000000001</v>
      </c>
      <c r="F21" s="119"/>
      <c r="G21" s="119"/>
    </row>
    <row r="22" spans="2:14">
      <c r="B22" s="70" t="s">
        <v>119</v>
      </c>
      <c r="C22" s="94">
        <f>'Profit and Loss Statement'!E6*0.012</f>
        <v>12112.632</v>
      </c>
      <c r="D22" s="94">
        <f>'Profit and Loss Statement'!F6*0.012</f>
        <v>14535.1584</v>
      </c>
      <c r="E22" s="94">
        <f>'Profit and Loss Statement'!G6*0.012</f>
        <v>16715.43216</v>
      </c>
      <c r="F22" s="1"/>
      <c r="G22" s="1"/>
    </row>
    <row r="23" spans="2:14">
      <c r="B23" s="70" t="s">
        <v>1</v>
      </c>
      <c r="C23" s="94">
        <v>5000</v>
      </c>
      <c r="D23" s="94">
        <f>C23*1.35</f>
        <v>6750</v>
      </c>
      <c r="E23" s="94">
        <f>D23*1.35</f>
        <v>9112.5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7" t="s">
        <v>113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2:14">
      <c r="B31" s="149" t="s">
        <v>5</v>
      </c>
      <c r="C31" s="150">
        <v>1</v>
      </c>
      <c r="D31" s="150">
        <f>C31+1</f>
        <v>2</v>
      </c>
      <c r="E31" s="150">
        <f t="shared" ref="E31:N31" si="2">D31+1</f>
        <v>3</v>
      </c>
      <c r="F31" s="150">
        <f t="shared" si="2"/>
        <v>4</v>
      </c>
      <c r="G31" s="150">
        <f t="shared" si="2"/>
        <v>5</v>
      </c>
      <c r="H31" s="150">
        <f t="shared" si="2"/>
        <v>6</v>
      </c>
      <c r="I31" s="150">
        <f t="shared" si="2"/>
        <v>7</v>
      </c>
      <c r="J31" s="150">
        <f t="shared" si="2"/>
        <v>8</v>
      </c>
      <c r="K31" s="150">
        <f t="shared" si="2"/>
        <v>9</v>
      </c>
      <c r="L31" s="150">
        <f t="shared" si="2"/>
        <v>10</v>
      </c>
      <c r="M31" s="150">
        <f t="shared" si="2"/>
        <v>11</v>
      </c>
      <c r="N31" s="150">
        <f t="shared" si="2"/>
        <v>12</v>
      </c>
    </row>
    <row r="32" spans="2:14">
      <c r="B32" s="66" t="str">
        <f t="shared" ref="B32:B41" si="3">B5</f>
        <v>Medical Spa Services</v>
      </c>
      <c r="C32" s="94">
        <v>80000</v>
      </c>
      <c r="D32" s="94">
        <f>C32+20</f>
        <v>80020</v>
      </c>
      <c r="E32" s="94">
        <f t="shared" ref="E32:N32" si="4">D32+20</f>
        <v>80040</v>
      </c>
      <c r="F32" s="94">
        <f t="shared" si="4"/>
        <v>80060</v>
      </c>
      <c r="G32" s="94">
        <f t="shared" si="4"/>
        <v>80080</v>
      </c>
      <c r="H32" s="94">
        <f t="shared" si="4"/>
        <v>80100</v>
      </c>
      <c r="I32" s="94">
        <f t="shared" si="4"/>
        <v>80120</v>
      </c>
      <c r="J32" s="94">
        <f t="shared" si="4"/>
        <v>80140</v>
      </c>
      <c r="K32" s="94">
        <f t="shared" si="4"/>
        <v>80160</v>
      </c>
      <c r="L32" s="94">
        <f t="shared" si="4"/>
        <v>80180</v>
      </c>
      <c r="M32" s="94">
        <f t="shared" si="4"/>
        <v>80200</v>
      </c>
      <c r="N32" s="94">
        <f t="shared" si="4"/>
        <v>80220</v>
      </c>
    </row>
    <row r="33" spans="2:19">
      <c r="B33" s="66" t="str">
        <f t="shared" si="3"/>
        <v>Product Sales</v>
      </c>
      <c r="C33" s="94">
        <f>C32*0.05</f>
        <v>4000</v>
      </c>
      <c r="D33" s="94">
        <f t="shared" ref="D33:N33" si="5">D32*0.05</f>
        <v>4001</v>
      </c>
      <c r="E33" s="94">
        <f t="shared" si="5"/>
        <v>4002</v>
      </c>
      <c r="F33" s="94">
        <f t="shared" si="5"/>
        <v>4003</v>
      </c>
      <c r="G33" s="94">
        <f t="shared" si="5"/>
        <v>4004</v>
      </c>
      <c r="H33" s="94">
        <f t="shared" si="5"/>
        <v>4005</v>
      </c>
      <c r="I33" s="94">
        <f t="shared" si="5"/>
        <v>4006</v>
      </c>
      <c r="J33" s="94">
        <f t="shared" si="5"/>
        <v>4007</v>
      </c>
      <c r="K33" s="94">
        <f t="shared" si="5"/>
        <v>4008</v>
      </c>
      <c r="L33" s="94">
        <f t="shared" si="5"/>
        <v>4009</v>
      </c>
      <c r="M33" s="94">
        <f t="shared" si="5"/>
        <v>4010</v>
      </c>
      <c r="N33" s="94">
        <f t="shared" si="5"/>
        <v>4011</v>
      </c>
    </row>
    <row r="34" spans="2:19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9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9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S36" s="112" t="s">
        <v>132</v>
      </c>
    </row>
    <row r="37" spans="2:19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9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9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9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9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R41" s="153" t="s">
        <v>136</v>
      </c>
      <c r="S41" s="153"/>
    </row>
    <row r="42" spans="2:19">
      <c r="B42" s="151" t="s">
        <v>8</v>
      </c>
      <c r="C42" s="152">
        <f>SUM(C32:C41)</f>
        <v>84000</v>
      </c>
      <c r="D42" s="152">
        <f t="shared" ref="D42:N42" si="6">SUM(D32:D41)</f>
        <v>84021</v>
      </c>
      <c r="E42" s="152">
        <f t="shared" si="6"/>
        <v>84042</v>
      </c>
      <c r="F42" s="152">
        <f t="shared" si="6"/>
        <v>84063</v>
      </c>
      <c r="G42" s="152">
        <f t="shared" si="6"/>
        <v>84084</v>
      </c>
      <c r="H42" s="152">
        <f t="shared" si="6"/>
        <v>84105</v>
      </c>
      <c r="I42" s="152">
        <f t="shared" si="6"/>
        <v>84126</v>
      </c>
      <c r="J42" s="152">
        <f t="shared" si="6"/>
        <v>84147</v>
      </c>
      <c r="K42" s="152">
        <f t="shared" si="6"/>
        <v>84168</v>
      </c>
      <c r="L42" s="152">
        <f t="shared" si="6"/>
        <v>84189</v>
      </c>
      <c r="M42" s="152">
        <f t="shared" si="6"/>
        <v>84210</v>
      </c>
      <c r="N42" s="152">
        <f t="shared" si="6"/>
        <v>84231</v>
      </c>
    </row>
    <row r="44" spans="2:19">
      <c r="B44" s="144"/>
      <c r="C44" s="144"/>
    </row>
    <row r="45" spans="2:19">
      <c r="B45" s="145" t="s">
        <v>124</v>
      </c>
      <c r="C45" s="145"/>
    </row>
    <row r="46" spans="2:19">
      <c r="B46" s="66" t="s">
        <v>3</v>
      </c>
      <c r="C46" s="143">
        <v>0.2</v>
      </c>
    </row>
    <row r="47" spans="2:19">
      <c r="B47" s="66" t="s">
        <v>4</v>
      </c>
      <c r="C47" s="143">
        <v>0.15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Medical Spa Services</v>
      </c>
      <c r="C51" s="114">
        <f t="shared" ref="C51:N51" si="9">C32*($C$5/$E$5)</f>
        <v>4000</v>
      </c>
      <c r="D51" s="114">
        <f t="shared" si="9"/>
        <v>4001</v>
      </c>
      <c r="E51" s="114">
        <f t="shared" si="9"/>
        <v>4002</v>
      </c>
      <c r="F51" s="114">
        <f t="shared" si="9"/>
        <v>4003</v>
      </c>
      <c r="G51" s="114">
        <f t="shared" si="9"/>
        <v>4004</v>
      </c>
      <c r="H51" s="114">
        <f t="shared" si="9"/>
        <v>4005</v>
      </c>
      <c r="I51" s="114">
        <f t="shared" si="9"/>
        <v>4006</v>
      </c>
      <c r="J51" s="114">
        <f t="shared" si="9"/>
        <v>4007</v>
      </c>
      <c r="K51" s="114">
        <f t="shared" si="9"/>
        <v>4008</v>
      </c>
      <c r="L51" s="114">
        <f t="shared" si="9"/>
        <v>4009</v>
      </c>
      <c r="M51" s="114">
        <f t="shared" si="9"/>
        <v>4010</v>
      </c>
      <c r="N51" s="114">
        <f t="shared" si="9"/>
        <v>4011</v>
      </c>
    </row>
    <row r="52" spans="2:14">
      <c r="B52" s="112" t="str">
        <f t="shared" si="8"/>
        <v>Product Sales</v>
      </c>
      <c r="C52" s="114">
        <f t="shared" ref="C52:N52" si="10">C33*($C$6/$E$6)</f>
        <v>200</v>
      </c>
      <c r="D52" s="114">
        <f t="shared" si="10"/>
        <v>200.05</v>
      </c>
      <c r="E52" s="114">
        <f t="shared" si="10"/>
        <v>200.10000000000002</v>
      </c>
      <c r="F52" s="114">
        <f t="shared" si="10"/>
        <v>200.15</v>
      </c>
      <c r="G52" s="114">
        <f t="shared" si="10"/>
        <v>200.20000000000002</v>
      </c>
      <c r="H52" s="114">
        <f t="shared" si="10"/>
        <v>200.25</v>
      </c>
      <c r="I52" s="114">
        <f t="shared" si="10"/>
        <v>200.3</v>
      </c>
      <c r="J52" s="114">
        <f t="shared" si="10"/>
        <v>200.35000000000002</v>
      </c>
      <c r="K52" s="114">
        <f t="shared" si="10"/>
        <v>200.4</v>
      </c>
      <c r="L52" s="114">
        <f t="shared" si="10"/>
        <v>200.45000000000002</v>
      </c>
      <c r="M52" s="114">
        <f t="shared" si="10"/>
        <v>200.5</v>
      </c>
      <c r="N52" s="114">
        <f t="shared" si="10"/>
        <v>200.55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4200</v>
      </c>
      <c r="D61" s="114">
        <f t="shared" ref="D61:N61" si="19">SUM(D51:D60)</f>
        <v>4201.05</v>
      </c>
      <c r="E61" s="114">
        <f t="shared" si="19"/>
        <v>4202.1000000000004</v>
      </c>
      <c r="F61" s="114">
        <f t="shared" si="19"/>
        <v>4203.1499999999996</v>
      </c>
      <c r="G61" s="114">
        <f t="shared" si="19"/>
        <v>4204.2</v>
      </c>
      <c r="H61" s="114">
        <f t="shared" si="19"/>
        <v>4205.25</v>
      </c>
      <c r="I61" s="114">
        <f t="shared" si="19"/>
        <v>4206.3</v>
      </c>
      <c r="J61" s="114">
        <f t="shared" si="19"/>
        <v>4207.3500000000004</v>
      </c>
      <c r="K61" s="114">
        <f t="shared" si="19"/>
        <v>4208.3999999999996</v>
      </c>
      <c r="L61" s="114">
        <f t="shared" si="19"/>
        <v>4209.45</v>
      </c>
      <c r="M61" s="114">
        <f t="shared" si="19"/>
        <v>4210.5</v>
      </c>
      <c r="N61" s="114">
        <f t="shared" si="19"/>
        <v>4211.55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79800</v>
      </c>
      <c r="D66" s="114">
        <f t="shared" si="21"/>
        <v>79819.95</v>
      </c>
      <c r="E66" s="114">
        <f t="shared" si="21"/>
        <v>79839.899999999994</v>
      </c>
      <c r="F66" s="114">
        <f t="shared" si="21"/>
        <v>79859.850000000006</v>
      </c>
      <c r="G66" s="114">
        <f t="shared" si="21"/>
        <v>79879.8</v>
      </c>
      <c r="H66" s="114">
        <f t="shared" si="21"/>
        <v>79899.75</v>
      </c>
      <c r="I66" s="114">
        <f t="shared" si="21"/>
        <v>79919.7</v>
      </c>
      <c r="J66" s="114">
        <f t="shared" si="21"/>
        <v>79939.649999999994</v>
      </c>
      <c r="K66" s="114">
        <f t="shared" si="21"/>
        <v>79959.600000000006</v>
      </c>
      <c r="L66" s="114">
        <f t="shared" si="21"/>
        <v>79979.55</v>
      </c>
      <c r="M66" s="114">
        <f t="shared" si="21"/>
        <v>79999.5</v>
      </c>
      <c r="N66" s="114">
        <f t="shared" si="21"/>
        <v>80019.45</v>
      </c>
    </row>
  </sheetData>
  <sheetProtection algorithmName="SHA-512" hashValue="M6BgHobKfzjbILYK0HA80MGGcs+EA0x0qB/CnEfheYQyivThg5Gf23MoGkQFOk9uS0pFxloiyTlXbS4YZ7r5xg==" saltValue="cWpjUPm7OP66Qcab9Zby5Q==" spinCount="100000" sheet="1" objects="1" scenarios="1" selectLockedCells="1"/>
  <hyperlinks>
    <hyperlink ref="R41" r:id="rId1" xr:uid="{CA41107C-EFD1-4BF3-A804-AEBEC537B5C9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Q13" sqref="Q13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150000</v>
      </c>
      <c r="C5" s="55"/>
      <c r="D5" s="56" t="s">
        <v>36</v>
      </c>
      <c r="E5" s="59">
        <f>PMT(B6/B8,(B7*B8),-B5)</f>
        <v>1900.1366062537422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78016.392750449158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1900.1366062537422</v>
      </c>
      <c r="C14" s="1">
        <f>B14-D14</f>
        <v>775.13660625374223</v>
      </c>
      <c r="D14" s="1">
        <f>(B5*($B$6/$B$8))</f>
        <v>1125</v>
      </c>
      <c r="E14" s="1">
        <f>B5-C14</f>
        <v>149224.86339374626</v>
      </c>
    </row>
    <row r="15" spans="1:5">
      <c r="A15">
        <f>IF(($B$7*$B$8&gt;A14),IF(($B$7*$B$8)=A14,"",A14+1),"")</f>
        <v>2</v>
      </c>
      <c r="B15" s="1">
        <f>IF(A15="","",$B$14)</f>
        <v>1900.1366062537422</v>
      </c>
      <c r="C15" s="1">
        <f>IF(A15="","",B15-D15)</f>
        <v>780.95013080064541</v>
      </c>
      <c r="D15" s="1">
        <f>IF(A15="","",(E14*($B$6/$B$8)))</f>
        <v>1119.1864754530968</v>
      </c>
      <c r="E15" s="1">
        <f>IF(A15="","",E14-C15)</f>
        <v>148443.9132629456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1900.1366062537422</v>
      </c>
      <c r="C16" s="1">
        <f t="shared" ref="C16:C79" si="2">IF(A16="","",B16-D16)</f>
        <v>786.80725678165027</v>
      </c>
      <c r="D16" s="1">
        <f t="shared" ref="D16:D79" si="3">IF(A16="","",(E15*($B$6/$B$8)))</f>
        <v>1113.329349472092</v>
      </c>
      <c r="E16" s="1">
        <f t="shared" ref="E16:E79" si="4">IF(A16="","",E15-C16)</f>
        <v>147657.10600616396</v>
      </c>
    </row>
    <row r="17" spans="1:5">
      <c r="A17">
        <f t="shared" si="0"/>
        <v>4</v>
      </c>
      <c r="B17" s="1">
        <f t="shared" si="1"/>
        <v>1900.1366062537422</v>
      </c>
      <c r="C17" s="1">
        <f t="shared" si="2"/>
        <v>792.70831120751268</v>
      </c>
      <c r="D17" s="1">
        <f t="shared" si="3"/>
        <v>1107.4282950462296</v>
      </c>
      <c r="E17" s="1">
        <f t="shared" si="4"/>
        <v>146864.39769495645</v>
      </c>
    </row>
    <row r="18" spans="1:5">
      <c r="A18">
        <f t="shared" si="0"/>
        <v>5</v>
      </c>
      <c r="B18" s="1">
        <f t="shared" si="1"/>
        <v>1900.1366062537422</v>
      </c>
      <c r="C18" s="1">
        <f t="shared" si="2"/>
        <v>798.65362354156878</v>
      </c>
      <c r="D18" s="1">
        <f t="shared" si="3"/>
        <v>1101.4829827121735</v>
      </c>
      <c r="E18" s="1">
        <f t="shared" si="4"/>
        <v>146065.7440714149</v>
      </c>
    </row>
    <row r="19" spans="1:5">
      <c r="A19">
        <f t="shared" si="0"/>
        <v>6</v>
      </c>
      <c r="B19" s="1">
        <f t="shared" si="1"/>
        <v>1900.1366062537422</v>
      </c>
      <c r="C19" s="1">
        <f t="shared" si="2"/>
        <v>804.6435257181306</v>
      </c>
      <c r="D19" s="1">
        <f t="shared" si="3"/>
        <v>1095.4930805356116</v>
      </c>
      <c r="E19" s="1">
        <f t="shared" si="4"/>
        <v>145261.10054569677</v>
      </c>
    </row>
    <row r="20" spans="1:5">
      <c r="A20">
        <f t="shared" si="0"/>
        <v>7</v>
      </c>
      <c r="B20" s="1">
        <f t="shared" si="1"/>
        <v>1900.1366062537422</v>
      </c>
      <c r="C20" s="1">
        <f t="shared" si="2"/>
        <v>810.67835216101639</v>
      </c>
      <c r="D20" s="1">
        <f t="shared" si="3"/>
        <v>1089.4582540927258</v>
      </c>
      <c r="E20" s="1">
        <f t="shared" si="4"/>
        <v>144450.42219353575</v>
      </c>
    </row>
    <row r="21" spans="1:5">
      <c r="A21">
        <f t="shared" si="0"/>
        <v>8</v>
      </c>
      <c r="B21" s="1">
        <f t="shared" si="1"/>
        <v>1900.1366062537422</v>
      </c>
      <c r="C21" s="1">
        <f t="shared" si="2"/>
        <v>816.75843980222407</v>
      </c>
      <c r="D21" s="1">
        <f t="shared" si="3"/>
        <v>1083.3781664515182</v>
      </c>
      <c r="E21" s="1">
        <f t="shared" si="4"/>
        <v>143633.66375373353</v>
      </c>
    </row>
    <row r="22" spans="1:5">
      <c r="A22">
        <f t="shared" si="0"/>
        <v>9</v>
      </c>
      <c r="B22" s="1">
        <f t="shared" si="1"/>
        <v>1900.1366062537422</v>
      </c>
      <c r="C22" s="1">
        <f t="shared" si="2"/>
        <v>822.88412810074078</v>
      </c>
      <c r="D22" s="1">
        <f t="shared" si="3"/>
        <v>1077.2524781530014</v>
      </c>
      <c r="E22" s="1">
        <f t="shared" si="4"/>
        <v>142810.7796256328</v>
      </c>
    </row>
    <row r="23" spans="1:5">
      <c r="A23">
        <f t="shared" si="0"/>
        <v>10</v>
      </c>
      <c r="B23" s="1">
        <f t="shared" si="1"/>
        <v>1900.1366062537422</v>
      </c>
      <c r="C23" s="1">
        <f t="shared" si="2"/>
        <v>829.05575906149625</v>
      </c>
      <c r="D23" s="1">
        <f t="shared" si="3"/>
        <v>1071.080847192246</v>
      </c>
      <c r="E23" s="1">
        <f t="shared" si="4"/>
        <v>141981.72386657129</v>
      </c>
    </row>
    <row r="24" spans="1:5">
      <c r="A24">
        <f t="shared" si="0"/>
        <v>11</v>
      </c>
      <c r="B24" s="1">
        <f t="shared" si="1"/>
        <v>1900.1366062537422</v>
      </c>
      <c r="C24" s="1">
        <f t="shared" si="2"/>
        <v>835.27367725445765</v>
      </c>
      <c r="D24" s="1">
        <f t="shared" si="3"/>
        <v>1064.8629289992846</v>
      </c>
      <c r="E24" s="1">
        <f t="shared" si="4"/>
        <v>141146.45018931685</v>
      </c>
    </row>
    <row r="25" spans="1:5">
      <c r="A25">
        <f t="shared" si="0"/>
        <v>12</v>
      </c>
      <c r="B25" s="1">
        <f t="shared" si="1"/>
        <v>1900.1366062537422</v>
      </c>
      <c r="C25" s="1">
        <f t="shared" si="2"/>
        <v>841.5382298338659</v>
      </c>
      <c r="D25" s="1">
        <f t="shared" si="3"/>
        <v>1058.5983764198763</v>
      </c>
      <c r="E25" s="1">
        <f t="shared" si="4"/>
        <v>140304.911959483</v>
      </c>
    </row>
    <row r="26" spans="1:5">
      <c r="A26">
        <f t="shared" si="0"/>
        <v>13</v>
      </c>
      <c r="B26" s="1">
        <f t="shared" si="1"/>
        <v>1900.1366062537422</v>
      </c>
      <c r="C26" s="1">
        <f t="shared" si="2"/>
        <v>847.84976655761989</v>
      </c>
      <c r="D26" s="1">
        <f t="shared" si="3"/>
        <v>1052.2868396961223</v>
      </c>
      <c r="E26" s="1">
        <f t="shared" si="4"/>
        <v>139457.06219292537</v>
      </c>
    </row>
    <row r="27" spans="1:5">
      <c r="A27">
        <f t="shared" si="0"/>
        <v>14</v>
      </c>
      <c r="B27" s="1">
        <f t="shared" si="1"/>
        <v>1900.1366062537422</v>
      </c>
      <c r="C27" s="1">
        <f t="shared" si="2"/>
        <v>854.20863980680201</v>
      </c>
      <c r="D27" s="1">
        <f t="shared" si="3"/>
        <v>1045.9279664469402</v>
      </c>
      <c r="E27" s="1">
        <f t="shared" si="4"/>
        <v>138602.85355311856</v>
      </c>
    </row>
    <row r="28" spans="1:5">
      <c r="A28">
        <f t="shared" si="0"/>
        <v>15</v>
      </c>
      <c r="B28" s="1">
        <f t="shared" si="1"/>
        <v>1900.1366062537422</v>
      </c>
      <c r="C28" s="1">
        <f t="shared" si="2"/>
        <v>860.61520460535303</v>
      </c>
      <c r="D28" s="1">
        <f t="shared" si="3"/>
        <v>1039.5214016483892</v>
      </c>
      <c r="E28" s="1">
        <f t="shared" si="4"/>
        <v>137742.2383485132</v>
      </c>
    </row>
    <row r="29" spans="1:5">
      <c r="A29">
        <f t="shared" si="0"/>
        <v>16</v>
      </c>
      <c r="B29" s="1">
        <f t="shared" si="1"/>
        <v>1900.1366062537422</v>
      </c>
      <c r="C29" s="1">
        <f t="shared" si="2"/>
        <v>867.06981863989336</v>
      </c>
      <c r="D29" s="1">
        <f t="shared" si="3"/>
        <v>1033.0667876138489</v>
      </c>
      <c r="E29" s="1">
        <f t="shared" si="4"/>
        <v>136875.16852987331</v>
      </c>
    </row>
    <row r="30" spans="1:5">
      <c r="A30">
        <f t="shared" si="0"/>
        <v>17</v>
      </c>
      <c r="B30" s="1">
        <f t="shared" si="1"/>
        <v>1900.1366062537422</v>
      </c>
      <c r="C30" s="1">
        <f t="shared" si="2"/>
        <v>873.5728422796924</v>
      </c>
      <c r="D30" s="1">
        <f t="shared" si="3"/>
        <v>1026.5637639740498</v>
      </c>
      <c r="E30" s="1">
        <f t="shared" si="4"/>
        <v>136001.59568759362</v>
      </c>
    </row>
    <row r="31" spans="1:5">
      <c r="A31">
        <f t="shared" si="0"/>
        <v>18</v>
      </c>
      <c r="B31" s="1">
        <f t="shared" si="1"/>
        <v>1900.1366062537422</v>
      </c>
      <c r="C31" s="1">
        <f t="shared" si="2"/>
        <v>880.12463859679008</v>
      </c>
      <c r="D31" s="1">
        <f t="shared" si="3"/>
        <v>1020.0119676569522</v>
      </c>
      <c r="E31" s="1">
        <f t="shared" si="4"/>
        <v>135121.47104899684</v>
      </c>
    </row>
    <row r="32" spans="1:5">
      <c r="A32">
        <f t="shared" si="0"/>
        <v>19</v>
      </c>
      <c r="B32" s="1">
        <f t="shared" si="1"/>
        <v>1900.1366062537422</v>
      </c>
      <c r="C32" s="1">
        <f t="shared" si="2"/>
        <v>886.72557338626598</v>
      </c>
      <c r="D32" s="1">
        <f t="shared" si="3"/>
        <v>1013.4110328674763</v>
      </c>
      <c r="E32" s="1">
        <f t="shared" si="4"/>
        <v>134234.74547561057</v>
      </c>
    </row>
    <row r="33" spans="1:5">
      <c r="A33">
        <f t="shared" si="0"/>
        <v>20</v>
      </c>
      <c r="B33" s="1">
        <f t="shared" si="1"/>
        <v>1900.1366062537422</v>
      </c>
      <c r="C33" s="1">
        <f t="shared" si="2"/>
        <v>893.37601518666293</v>
      </c>
      <c r="D33" s="1">
        <f t="shared" si="3"/>
        <v>1006.7605910670793</v>
      </c>
      <c r="E33" s="1">
        <f t="shared" si="4"/>
        <v>133341.36946042391</v>
      </c>
    </row>
    <row r="34" spans="1:5">
      <c r="A34">
        <f t="shared" si="0"/>
        <v>21</v>
      </c>
      <c r="B34" s="1">
        <f t="shared" si="1"/>
        <v>1900.1366062537422</v>
      </c>
      <c r="C34" s="1">
        <f t="shared" si="2"/>
        <v>900.07633530056296</v>
      </c>
      <c r="D34" s="1">
        <f t="shared" si="3"/>
        <v>1000.0602709531793</v>
      </c>
      <c r="E34" s="1">
        <f t="shared" si="4"/>
        <v>132441.29312512334</v>
      </c>
    </row>
    <row r="35" spans="1:5">
      <c r="A35">
        <f t="shared" si="0"/>
        <v>22</v>
      </c>
      <c r="B35" s="1">
        <f t="shared" si="1"/>
        <v>1900.1366062537422</v>
      </c>
      <c r="C35" s="1">
        <f t="shared" si="2"/>
        <v>906.82690781531721</v>
      </c>
      <c r="D35" s="1">
        <f t="shared" si="3"/>
        <v>993.30969843842502</v>
      </c>
      <c r="E35" s="1">
        <f t="shared" si="4"/>
        <v>131534.46621730801</v>
      </c>
    </row>
    <row r="36" spans="1:5">
      <c r="A36">
        <f t="shared" si="0"/>
        <v>23</v>
      </c>
      <c r="B36" s="1">
        <f t="shared" si="1"/>
        <v>1900.1366062537422</v>
      </c>
      <c r="C36" s="1">
        <f t="shared" si="2"/>
        <v>913.62810962393212</v>
      </c>
      <c r="D36" s="1">
        <f t="shared" si="3"/>
        <v>986.50849662981011</v>
      </c>
      <c r="E36" s="1">
        <f t="shared" si="4"/>
        <v>130620.83810768409</v>
      </c>
    </row>
    <row r="37" spans="1:5">
      <c r="A37">
        <f t="shared" si="0"/>
        <v>24</v>
      </c>
      <c r="B37" s="1">
        <f t="shared" si="1"/>
        <v>1900.1366062537422</v>
      </c>
      <c r="C37" s="1">
        <f t="shared" si="2"/>
        <v>920.48032044611159</v>
      </c>
      <c r="D37" s="1">
        <f t="shared" si="3"/>
        <v>979.65628580763064</v>
      </c>
      <c r="E37" s="1">
        <f t="shared" si="4"/>
        <v>129700.35778723798</v>
      </c>
    </row>
    <row r="38" spans="1:5">
      <c r="A38">
        <f t="shared" si="0"/>
        <v>25</v>
      </c>
      <c r="B38" s="1">
        <f t="shared" si="1"/>
        <v>1900.1366062537422</v>
      </c>
      <c r="C38" s="1">
        <f t="shared" si="2"/>
        <v>927.38392284945735</v>
      </c>
      <c r="D38" s="1">
        <f t="shared" si="3"/>
        <v>972.75268340428488</v>
      </c>
      <c r="E38" s="1">
        <f t="shared" si="4"/>
        <v>128772.97386438852</v>
      </c>
    </row>
    <row r="39" spans="1:5">
      <c r="A39">
        <f t="shared" si="0"/>
        <v>26</v>
      </c>
      <c r="B39" s="1">
        <f t="shared" si="1"/>
        <v>1900.1366062537422</v>
      </c>
      <c r="C39" s="1">
        <f t="shared" si="2"/>
        <v>934.3393022708284</v>
      </c>
      <c r="D39" s="1">
        <f t="shared" si="3"/>
        <v>965.79730398291383</v>
      </c>
      <c r="E39" s="1">
        <f t="shared" si="4"/>
        <v>127838.63456211769</v>
      </c>
    </row>
    <row r="40" spans="1:5">
      <c r="A40">
        <f t="shared" si="0"/>
        <v>27</v>
      </c>
      <c r="B40" s="1">
        <f t="shared" si="1"/>
        <v>1900.1366062537422</v>
      </c>
      <c r="C40" s="1">
        <f t="shared" si="2"/>
        <v>941.34684703785956</v>
      </c>
      <c r="D40" s="1">
        <f t="shared" si="3"/>
        <v>958.78975921588267</v>
      </c>
      <c r="E40" s="1">
        <f t="shared" si="4"/>
        <v>126897.28771507983</v>
      </c>
    </row>
    <row r="41" spans="1:5">
      <c r="A41">
        <f t="shared" si="0"/>
        <v>28</v>
      </c>
      <c r="B41" s="1">
        <f t="shared" si="1"/>
        <v>1900.1366062537422</v>
      </c>
      <c r="C41" s="1">
        <f t="shared" si="2"/>
        <v>948.40694839064349</v>
      </c>
      <c r="D41" s="1">
        <f t="shared" si="3"/>
        <v>951.72965786309874</v>
      </c>
      <c r="E41" s="1">
        <f t="shared" si="4"/>
        <v>125948.88076668918</v>
      </c>
    </row>
    <row r="42" spans="1:5">
      <c r="A42">
        <f t="shared" si="0"/>
        <v>29</v>
      </c>
      <c r="B42" s="1">
        <f t="shared" si="1"/>
        <v>1900.1366062537422</v>
      </c>
      <c r="C42" s="1">
        <f t="shared" si="2"/>
        <v>955.52000050357344</v>
      </c>
      <c r="D42" s="1">
        <f t="shared" si="3"/>
        <v>944.61660575016879</v>
      </c>
      <c r="E42" s="1">
        <f t="shared" si="4"/>
        <v>124993.36076618561</v>
      </c>
    </row>
    <row r="43" spans="1:5">
      <c r="A43">
        <f t="shared" si="0"/>
        <v>30</v>
      </c>
      <c r="B43" s="1">
        <f t="shared" si="1"/>
        <v>1900.1366062537422</v>
      </c>
      <c r="C43" s="1">
        <f t="shared" si="2"/>
        <v>962.68640050735019</v>
      </c>
      <c r="D43" s="1">
        <f t="shared" si="3"/>
        <v>937.45020574639204</v>
      </c>
      <c r="E43" s="1">
        <f t="shared" si="4"/>
        <v>124030.67436567826</v>
      </c>
    </row>
    <row r="44" spans="1:5">
      <c r="A44">
        <f t="shared" si="0"/>
        <v>31</v>
      </c>
      <c r="B44" s="1">
        <f t="shared" si="1"/>
        <v>1900.1366062537422</v>
      </c>
      <c r="C44" s="1">
        <f t="shared" si="2"/>
        <v>969.90654851115528</v>
      </c>
      <c r="D44" s="1">
        <f t="shared" si="3"/>
        <v>930.23005774258695</v>
      </c>
      <c r="E44" s="1">
        <f t="shared" si="4"/>
        <v>123060.76781716711</v>
      </c>
    </row>
    <row r="45" spans="1:5">
      <c r="A45">
        <f t="shared" si="0"/>
        <v>32</v>
      </c>
      <c r="B45" s="1">
        <f t="shared" si="1"/>
        <v>1900.1366062537422</v>
      </c>
      <c r="C45" s="1">
        <f t="shared" si="2"/>
        <v>977.18084762498893</v>
      </c>
      <c r="D45" s="1">
        <f t="shared" si="3"/>
        <v>922.9557586287533</v>
      </c>
      <c r="E45" s="1">
        <f t="shared" si="4"/>
        <v>122083.58696954213</v>
      </c>
    </row>
    <row r="46" spans="1:5">
      <c r="A46">
        <f t="shared" si="0"/>
        <v>33</v>
      </c>
      <c r="B46" s="1">
        <f t="shared" si="1"/>
        <v>1900.1366062537422</v>
      </c>
      <c r="C46" s="1">
        <f t="shared" si="2"/>
        <v>984.50970398217635</v>
      </c>
      <c r="D46" s="1">
        <f t="shared" si="3"/>
        <v>915.62690227156588</v>
      </c>
      <c r="E46" s="1">
        <f t="shared" si="4"/>
        <v>121099.07726555996</v>
      </c>
    </row>
    <row r="47" spans="1:5">
      <c r="A47">
        <f t="shared" si="0"/>
        <v>34</v>
      </c>
      <c r="B47" s="1">
        <f t="shared" si="1"/>
        <v>1900.1366062537422</v>
      </c>
      <c r="C47" s="1">
        <f t="shared" si="2"/>
        <v>991.8935267620426</v>
      </c>
      <c r="D47" s="1">
        <f t="shared" si="3"/>
        <v>908.24307949169963</v>
      </c>
      <c r="E47" s="1">
        <f t="shared" si="4"/>
        <v>120107.18373879792</v>
      </c>
    </row>
    <row r="48" spans="1:5">
      <c r="A48">
        <f t="shared" si="0"/>
        <v>35</v>
      </c>
      <c r="B48" s="1">
        <f t="shared" si="1"/>
        <v>1900.1366062537422</v>
      </c>
      <c r="C48" s="1">
        <f t="shared" si="2"/>
        <v>999.33272821275784</v>
      </c>
      <c r="D48" s="1">
        <f t="shared" si="3"/>
        <v>900.80387804098439</v>
      </c>
      <c r="E48" s="1">
        <f t="shared" si="4"/>
        <v>119107.85101058516</v>
      </c>
    </row>
    <row r="49" spans="1:5">
      <c r="A49">
        <f t="shared" si="0"/>
        <v>36</v>
      </c>
      <c r="B49" s="1">
        <f t="shared" si="1"/>
        <v>1900.1366062537422</v>
      </c>
      <c r="C49" s="1">
        <f t="shared" si="2"/>
        <v>1006.8277236743536</v>
      </c>
      <c r="D49" s="1">
        <f t="shared" si="3"/>
        <v>893.30888257938864</v>
      </c>
      <c r="E49" s="1">
        <f t="shared" si="4"/>
        <v>118101.0232869108</v>
      </c>
    </row>
    <row r="50" spans="1:5">
      <c r="A50">
        <f t="shared" si="0"/>
        <v>37</v>
      </c>
      <c r="B50" s="1">
        <f t="shared" si="1"/>
        <v>1900.1366062537422</v>
      </c>
      <c r="C50" s="1">
        <f t="shared" si="2"/>
        <v>1014.3789316019113</v>
      </c>
      <c r="D50" s="1">
        <f t="shared" si="3"/>
        <v>885.75767465183094</v>
      </c>
      <c r="E50" s="1">
        <f t="shared" si="4"/>
        <v>117086.64435530889</v>
      </c>
    </row>
    <row r="51" spans="1:5">
      <c r="A51">
        <f t="shared" si="0"/>
        <v>38</v>
      </c>
      <c r="B51" s="1">
        <f t="shared" si="1"/>
        <v>1900.1366062537422</v>
      </c>
      <c r="C51" s="1">
        <f t="shared" si="2"/>
        <v>1021.9867735889255</v>
      </c>
      <c r="D51" s="1">
        <f t="shared" si="3"/>
        <v>878.1498326648167</v>
      </c>
      <c r="E51" s="1">
        <f t="shared" si="4"/>
        <v>116064.65758171996</v>
      </c>
    </row>
    <row r="52" spans="1:5">
      <c r="A52">
        <f t="shared" si="0"/>
        <v>39</v>
      </c>
      <c r="B52" s="1">
        <f t="shared" si="1"/>
        <v>1900.1366062537422</v>
      </c>
      <c r="C52" s="1">
        <f t="shared" si="2"/>
        <v>1029.6516743908426</v>
      </c>
      <c r="D52" s="1">
        <f t="shared" si="3"/>
        <v>870.48493186289966</v>
      </c>
      <c r="E52" s="1">
        <f t="shared" si="4"/>
        <v>115035.00590732912</v>
      </c>
    </row>
    <row r="53" spans="1:5">
      <c r="A53">
        <f t="shared" si="0"/>
        <v>40</v>
      </c>
      <c r="B53" s="1">
        <f t="shared" si="1"/>
        <v>1900.1366062537422</v>
      </c>
      <c r="C53" s="1">
        <f t="shared" si="2"/>
        <v>1037.3740619487739</v>
      </c>
      <c r="D53" s="1">
        <f t="shared" si="3"/>
        <v>862.7625443049684</v>
      </c>
      <c r="E53" s="1">
        <f t="shared" si="4"/>
        <v>113997.63184538034</v>
      </c>
    </row>
    <row r="54" spans="1:5">
      <c r="A54">
        <f t="shared" si="0"/>
        <v>41</v>
      </c>
      <c r="B54" s="1">
        <f t="shared" si="1"/>
        <v>1900.1366062537422</v>
      </c>
      <c r="C54" s="1">
        <f t="shared" si="2"/>
        <v>1045.1543674133898</v>
      </c>
      <c r="D54" s="1">
        <f t="shared" si="3"/>
        <v>854.98223884035247</v>
      </c>
      <c r="E54" s="1">
        <f t="shared" si="4"/>
        <v>112952.47747796695</v>
      </c>
    </row>
    <row r="55" spans="1:5">
      <c r="A55">
        <f t="shared" si="0"/>
        <v>42</v>
      </c>
      <c r="B55" s="1">
        <f t="shared" si="1"/>
        <v>1900.1366062537422</v>
      </c>
      <c r="C55" s="1">
        <f t="shared" si="2"/>
        <v>1052.9930251689902</v>
      </c>
      <c r="D55" s="1">
        <f t="shared" si="3"/>
        <v>847.1435810847521</v>
      </c>
      <c r="E55" s="1">
        <f t="shared" si="4"/>
        <v>111899.48445279796</v>
      </c>
    </row>
    <row r="56" spans="1:5">
      <c r="A56">
        <f t="shared" si="0"/>
        <v>43</v>
      </c>
      <c r="B56" s="1">
        <f t="shared" si="1"/>
        <v>1900.1366062537422</v>
      </c>
      <c r="C56" s="1">
        <f t="shared" si="2"/>
        <v>1060.8904728577577</v>
      </c>
      <c r="D56" s="1">
        <f t="shared" si="3"/>
        <v>839.24613339598466</v>
      </c>
      <c r="E56" s="1">
        <f t="shared" si="4"/>
        <v>110838.5939799402</v>
      </c>
    </row>
    <row r="57" spans="1:5">
      <c r="A57">
        <f t="shared" si="0"/>
        <v>44</v>
      </c>
      <c r="B57" s="1">
        <f t="shared" si="1"/>
        <v>1900.1366062537422</v>
      </c>
      <c r="C57" s="1">
        <f t="shared" si="2"/>
        <v>1068.8471514041908</v>
      </c>
      <c r="D57" s="1">
        <f t="shared" si="3"/>
        <v>831.28945484955148</v>
      </c>
      <c r="E57" s="1">
        <f t="shared" si="4"/>
        <v>109769.74682853601</v>
      </c>
    </row>
    <row r="58" spans="1:5">
      <c r="A58">
        <f t="shared" si="0"/>
        <v>45</v>
      </c>
      <c r="B58" s="1">
        <f t="shared" si="1"/>
        <v>1900.1366062537422</v>
      </c>
      <c r="C58" s="1">
        <f t="shared" si="2"/>
        <v>1076.8635050397222</v>
      </c>
      <c r="D58" s="1">
        <f t="shared" si="3"/>
        <v>823.27310121402002</v>
      </c>
      <c r="E58" s="1">
        <f t="shared" si="4"/>
        <v>108692.88332349628</v>
      </c>
    </row>
    <row r="59" spans="1:5">
      <c r="A59">
        <f t="shared" si="0"/>
        <v>46</v>
      </c>
      <c r="B59" s="1">
        <f t="shared" si="1"/>
        <v>1900.1366062537422</v>
      </c>
      <c r="C59" s="1">
        <f t="shared" si="2"/>
        <v>1084.9399813275202</v>
      </c>
      <c r="D59" s="1">
        <f t="shared" si="3"/>
        <v>815.19662492622206</v>
      </c>
      <c r="E59" s="1">
        <f t="shared" si="4"/>
        <v>107607.94334216876</v>
      </c>
    </row>
    <row r="60" spans="1:5">
      <c r="A60">
        <f t="shared" si="0"/>
        <v>47</v>
      </c>
      <c r="B60" s="1">
        <f t="shared" si="1"/>
        <v>1900.1366062537422</v>
      </c>
      <c r="C60" s="1">
        <f t="shared" si="2"/>
        <v>1093.0770311874767</v>
      </c>
      <c r="D60" s="1">
        <f t="shared" si="3"/>
        <v>807.05957506626567</v>
      </c>
      <c r="E60" s="1">
        <f t="shared" si="4"/>
        <v>106514.86631098128</v>
      </c>
    </row>
    <row r="61" spans="1:5">
      <c r="A61">
        <f t="shared" si="0"/>
        <v>48</v>
      </c>
      <c r="B61" s="1">
        <f t="shared" si="1"/>
        <v>1900.1366062537422</v>
      </c>
      <c r="C61" s="1">
        <f t="shared" si="2"/>
        <v>1101.2751089213825</v>
      </c>
      <c r="D61" s="1">
        <f t="shared" si="3"/>
        <v>798.86149733235959</v>
      </c>
      <c r="E61" s="1">
        <f t="shared" si="4"/>
        <v>105413.59120205989</v>
      </c>
    </row>
    <row r="62" spans="1:5">
      <c r="A62">
        <f t="shared" si="0"/>
        <v>49</v>
      </c>
      <c r="B62" s="1">
        <f t="shared" si="1"/>
        <v>1900.1366062537422</v>
      </c>
      <c r="C62" s="1">
        <f t="shared" si="2"/>
        <v>1109.5346722382931</v>
      </c>
      <c r="D62" s="1">
        <f t="shared" si="3"/>
        <v>790.60193401544916</v>
      </c>
      <c r="E62" s="1">
        <f t="shared" si="4"/>
        <v>104304.0565298216</v>
      </c>
    </row>
    <row r="63" spans="1:5">
      <c r="A63">
        <f t="shared" si="0"/>
        <v>50</v>
      </c>
      <c r="B63" s="1">
        <f t="shared" si="1"/>
        <v>1900.1366062537422</v>
      </c>
      <c r="C63" s="1">
        <f t="shared" si="2"/>
        <v>1117.8561822800802</v>
      </c>
      <c r="D63" s="1">
        <f t="shared" si="3"/>
        <v>782.28042397366198</v>
      </c>
      <c r="E63" s="1">
        <f t="shared" si="4"/>
        <v>103186.20034754151</v>
      </c>
    </row>
    <row r="64" spans="1:5">
      <c r="A64">
        <f t="shared" si="0"/>
        <v>51</v>
      </c>
      <c r="B64" s="1">
        <f t="shared" si="1"/>
        <v>1900.1366062537422</v>
      </c>
      <c r="C64" s="1">
        <f t="shared" si="2"/>
        <v>1126.2401036471811</v>
      </c>
      <c r="D64" s="1">
        <f t="shared" si="3"/>
        <v>773.89650260656128</v>
      </c>
      <c r="E64" s="1">
        <f t="shared" si="4"/>
        <v>102059.96024389433</v>
      </c>
    </row>
    <row r="65" spans="1:5">
      <c r="A65">
        <f t="shared" si="0"/>
        <v>52</v>
      </c>
      <c r="B65" s="1">
        <f t="shared" si="1"/>
        <v>1900.1366062537422</v>
      </c>
      <c r="C65" s="1">
        <f t="shared" si="2"/>
        <v>1134.6869044245348</v>
      </c>
      <c r="D65" s="1">
        <f t="shared" si="3"/>
        <v>765.44970182920747</v>
      </c>
      <c r="E65" s="1">
        <f t="shared" si="4"/>
        <v>100925.27333946979</v>
      </c>
    </row>
    <row r="66" spans="1:5">
      <c r="A66">
        <f t="shared" si="0"/>
        <v>53</v>
      </c>
      <c r="B66" s="1">
        <f t="shared" si="1"/>
        <v>1900.1366062537422</v>
      </c>
      <c r="C66" s="1">
        <f t="shared" si="2"/>
        <v>1143.197056207719</v>
      </c>
      <c r="D66" s="1">
        <f t="shared" si="3"/>
        <v>756.93955004602333</v>
      </c>
      <c r="E66" s="1">
        <f t="shared" si="4"/>
        <v>99782.076283262068</v>
      </c>
    </row>
    <row r="67" spans="1:5">
      <c r="A67">
        <f t="shared" si="0"/>
        <v>54</v>
      </c>
      <c r="B67" s="1">
        <f t="shared" si="1"/>
        <v>1900.1366062537422</v>
      </c>
      <c r="C67" s="1">
        <f t="shared" si="2"/>
        <v>1151.7710341292768</v>
      </c>
      <c r="D67" s="1">
        <f t="shared" si="3"/>
        <v>748.36557212446553</v>
      </c>
      <c r="E67" s="1">
        <f t="shared" si="4"/>
        <v>98630.305249132798</v>
      </c>
    </row>
    <row r="68" spans="1:5">
      <c r="A68">
        <f t="shared" si="0"/>
        <v>55</v>
      </c>
      <c r="B68" s="1">
        <f t="shared" si="1"/>
        <v>1900.1366062537422</v>
      </c>
      <c r="C68" s="1">
        <f t="shared" si="2"/>
        <v>1160.4093168852464</v>
      </c>
      <c r="D68" s="1">
        <f t="shared" si="3"/>
        <v>739.72728936849592</v>
      </c>
      <c r="E68" s="1">
        <f t="shared" si="4"/>
        <v>97469.895932247557</v>
      </c>
    </row>
    <row r="69" spans="1:5">
      <c r="A69">
        <f t="shared" si="0"/>
        <v>56</v>
      </c>
      <c r="B69" s="1">
        <f t="shared" si="1"/>
        <v>1900.1366062537422</v>
      </c>
      <c r="C69" s="1">
        <f t="shared" si="2"/>
        <v>1169.1123867618855</v>
      </c>
      <c r="D69" s="1">
        <f t="shared" si="3"/>
        <v>731.02421949185668</v>
      </c>
      <c r="E69" s="1">
        <f t="shared" si="4"/>
        <v>96300.783545485669</v>
      </c>
    </row>
    <row r="70" spans="1:5">
      <c r="A70">
        <f t="shared" si="0"/>
        <v>57</v>
      </c>
      <c r="B70" s="1">
        <f t="shared" si="1"/>
        <v>1900.1366062537422</v>
      </c>
      <c r="C70" s="1">
        <f t="shared" si="2"/>
        <v>1177.8807296625996</v>
      </c>
      <c r="D70" s="1">
        <f t="shared" si="3"/>
        <v>722.25587659114251</v>
      </c>
      <c r="E70" s="1">
        <f t="shared" si="4"/>
        <v>95122.902815823065</v>
      </c>
    </row>
    <row r="71" spans="1:5">
      <c r="A71">
        <f t="shared" si="0"/>
        <v>58</v>
      </c>
      <c r="B71" s="1">
        <f t="shared" si="1"/>
        <v>1900.1366062537422</v>
      </c>
      <c r="C71" s="1">
        <f t="shared" si="2"/>
        <v>1186.7148351350693</v>
      </c>
      <c r="D71" s="1">
        <f t="shared" si="3"/>
        <v>713.42177111867295</v>
      </c>
      <c r="E71" s="1">
        <f t="shared" si="4"/>
        <v>93936.187980688002</v>
      </c>
    </row>
    <row r="72" spans="1:5">
      <c r="A72">
        <f t="shared" si="0"/>
        <v>59</v>
      </c>
      <c r="B72" s="1">
        <f t="shared" si="1"/>
        <v>1900.1366062537422</v>
      </c>
      <c r="C72" s="1">
        <f t="shared" si="2"/>
        <v>1195.6151963985822</v>
      </c>
      <c r="D72" s="1">
        <f t="shared" si="3"/>
        <v>704.52140985515996</v>
      </c>
      <c r="E72" s="1">
        <f t="shared" si="4"/>
        <v>92740.572784289427</v>
      </c>
    </row>
    <row r="73" spans="1:5">
      <c r="A73">
        <f t="shared" si="0"/>
        <v>60</v>
      </c>
      <c r="B73" s="1">
        <f t="shared" si="1"/>
        <v>1900.1366062537422</v>
      </c>
      <c r="C73" s="1">
        <f t="shared" si="2"/>
        <v>1204.5823103715716</v>
      </c>
      <c r="D73" s="1">
        <f t="shared" si="3"/>
        <v>695.55429588217066</v>
      </c>
      <c r="E73" s="1">
        <f t="shared" si="4"/>
        <v>91535.99047391786</v>
      </c>
    </row>
    <row r="74" spans="1:5">
      <c r="A74">
        <f t="shared" si="0"/>
        <v>61</v>
      </c>
      <c r="B74" s="1">
        <f t="shared" si="1"/>
        <v>1900.1366062537422</v>
      </c>
      <c r="C74" s="1">
        <f t="shared" si="2"/>
        <v>1213.6166776993582</v>
      </c>
      <c r="D74" s="1">
        <f t="shared" si="3"/>
        <v>686.51992855438391</v>
      </c>
      <c r="E74" s="1">
        <f t="shared" si="4"/>
        <v>90322.373796218497</v>
      </c>
    </row>
    <row r="75" spans="1:5">
      <c r="A75">
        <f t="shared" si="0"/>
        <v>62</v>
      </c>
      <c r="B75" s="1">
        <f t="shared" si="1"/>
        <v>1900.1366062537422</v>
      </c>
      <c r="C75" s="1">
        <f t="shared" si="2"/>
        <v>1222.7188027821035</v>
      </c>
      <c r="D75" s="1">
        <f t="shared" si="3"/>
        <v>677.41780347163865</v>
      </c>
      <c r="E75" s="1">
        <f t="shared" si="4"/>
        <v>89099.654993436387</v>
      </c>
    </row>
    <row r="76" spans="1:5">
      <c r="A76">
        <f t="shared" si="0"/>
        <v>63</v>
      </c>
      <c r="B76" s="1">
        <f t="shared" si="1"/>
        <v>1900.1366062537422</v>
      </c>
      <c r="C76" s="1">
        <f t="shared" si="2"/>
        <v>1231.8891938029692</v>
      </c>
      <c r="D76" s="1">
        <f t="shared" si="3"/>
        <v>668.24741245077291</v>
      </c>
      <c r="E76" s="1">
        <f t="shared" si="4"/>
        <v>87867.765799633416</v>
      </c>
    </row>
    <row r="77" spans="1:5">
      <c r="A77">
        <f t="shared" si="0"/>
        <v>64</v>
      </c>
      <c r="B77" s="1">
        <f t="shared" si="1"/>
        <v>1900.1366062537422</v>
      </c>
      <c r="C77" s="1">
        <f t="shared" si="2"/>
        <v>1241.1283627564917</v>
      </c>
      <c r="D77" s="1">
        <f t="shared" si="3"/>
        <v>659.00824349725065</v>
      </c>
      <c r="E77" s="1">
        <f t="shared" si="4"/>
        <v>86626.637436876917</v>
      </c>
    </row>
    <row r="78" spans="1:5">
      <c r="A78">
        <f t="shared" si="0"/>
        <v>65</v>
      </c>
      <c r="B78" s="1">
        <f t="shared" si="1"/>
        <v>1900.1366062537422</v>
      </c>
      <c r="C78" s="1">
        <f t="shared" si="2"/>
        <v>1250.4368254771653</v>
      </c>
      <c r="D78" s="1">
        <f t="shared" si="3"/>
        <v>649.69978077657686</v>
      </c>
      <c r="E78" s="1">
        <f t="shared" si="4"/>
        <v>85376.200611399749</v>
      </c>
    </row>
    <row r="79" spans="1:5">
      <c r="A79">
        <f t="shared" si="0"/>
        <v>66</v>
      </c>
      <c r="B79" s="1">
        <f t="shared" si="1"/>
        <v>1900.1366062537422</v>
      </c>
      <c r="C79" s="1">
        <f t="shared" si="2"/>
        <v>1259.8151016682441</v>
      </c>
      <c r="D79" s="1">
        <f t="shared" si="3"/>
        <v>640.32150458549813</v>
      </c>
      <c r="E79" s="1">
        <f t="shared" si="4"/>
        <v>84116.38550973151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1900.1366062537422</v>
      </c>
      <c r="C80" s="1">
        <f t="shared" ref="C80:C143" si="7">IF(A80="","",B80-D80)</f>
        <v>1269.2637149307559</v>
      </c>
      <c r="D80" s="1">
        <f t="shared" ref="D80:D143" si="8">IF(A80="","",(E79*($B$6/$B$8)))</f>
        <v>630.87289132298633</v>
      </c>
      <c r="E80" s="1">
        <f t="shared" ref="E80:E143" si="9">IF(A80="","",E79-C80)</f>
        <v>82847.121794800754</v>
      </c>
    </row>
    <row r="81" spans="1:5">
      <c r="A81">
        <f t="shared" si="5"/>
        <v>68</v>
      </c>
      <c r="B81" s="1">
        <f t="shared" si="6"/>
        <v>1900.1366062537422</v>
      </c>
      <c r="C81" s="1">
        <f t="shared" si="7"/>
        <v>1278.7831927927366</v>
      </c>
      <c r="D81" s="1">
        <f t="shared" si="8"/>
        <v>621.35341346100563</v>
      </c>
      <c r="E81" s="1">
        <f t="shared" si="9"/>
        <v>81568.338602008022</v>
      </c>
    </row>
    <row r="82" spans="1:5">
      <c r="A82">
        <f t="shared" si="5"/>
        <v>69</v>
      </c>
      <c r="B82" s="1">
        <f t="shared" si="6"/>
        <v>1900.1366062537422</v>
      </c>
      <c r="C82" s="1">
        <f t="shared" si="7"/>
        <v>1288.3740667386821</v>
      </c>
      <c r="D82" s="1">
        <f t="shared" si="8"/>
        <v>611.7625395150601</v>
      </c>
      <c r="E82" s="1">
        <f t="shared" si="9"/>
        <v>80279.964535269333</v>
      </c>
    </row>
    <row r="83" spans="1:5">
      <c r="A83">
        <f t="shared" si="5"/>
        <v>70</v>
      </c>
      <c r="B83" s="1">
        <f t="shared" si="6"/>
        <v>1900.1366062537422</v>
      </c>
      <c r="C83" s="1">
        <f t="shared" si="7"/>
        <v>1298.0368722392222</v>
      </c>
      <c r="D83" s="1">
        <f t="shared" si="8"/>
        <v>602.09973401451998</v>
      </c>
      <c r="E83" s="1">
        <f t="shared" si="9"/>
        <v>78981.927663030117</v>
      </c>
    </row>
    <row r="84" spans="1:5">
      <c r="A84">
        <f t="shared" si="5"/>
        <v>71</v>
      </c>
      <c r="B84" s="1">
        <f t="shared" si="6"/>
        <v>1900.1366062537422</v>
      </c>
      <c r="C84" s="1">
        <f t="shared" si="7"/>
        <v>1307.7721487810163</v>
      </c>
      <c r="D84" s="1">
        <f t="shared" si="8"/>
        <v>592.3644574727258</v>
      </c>
      <c r="E84" s="1">
        <f t="shared" si="9"/>
        <v>77674.155514249098</v>
      </c>
    </row>
    <row r="85" spans="1:5">
      <c r="A85">
        <f t="shared" si="5"/>
        <v>72</v>
      </c>
      <c r="B85" s="1">
        <f t="shared" si="6"/>
        <v>1900.1366062537422</v>
      </c>
      <c r="C85" s="1">
        <f t="shared" si="7"/>
        <v>1317.5804398968739</v>
      </c>
      <c r="D85" s="1">
        <f t="shared" si="8"/>
        <v>582.55616635686818</v>
      </c>
      <c r="E85" s="1">
        <f t="shared" si="9"/>
        <v>76356.575074352222</v>
      </c>
    </row>
    <row r="86" spans="1:5">
      <c r="A86">
        <f t="shared" si="5"/>
        <v>73</v>
      </c>
      <c r="B86" s="1">
        <f t="shared" si="6"/>
        <v>1900.1366062537422</v>
      </c>
      <c r="C86" s="1">
        <f t="shared" si="7"/>
        <v>1327.4622931961007</v>
      </c>
      <c r="D86" s="1">
        <f t="shared" si="8"/>
        <v>572.6743130576416</v>
      </c>
      <c r="E86" s="1">
        <f t="shared" si="9"/>
        <v>75029.112781156116</v>
      </c>
    </row>
    <row r="87" spans="1:5">
      <c r="A87">
        <f t="shared" si="5"/>
        <v>74</v>
      </c>
      <c r="B87" s="1">
        <f t="shared" si="6"/>
        <v>1900.1366062537422</v>
      </c>
      <c r="C87" s="1">
        <f t="shared" si="7"/>
        <v>1337.4182603950712</v>
      </c>
      <c r="D87" s="1">
        <f t="shared" si="8"/>
        <v>562.71834585867089</v>
      </c>
      <c r="E87" s="1">
        <f t="shared" si="9"/>
        <v>73691.694520761041</v>
      </c>
    </row>
    <row r="88" spans="1:5">
      <c r="A88">
        <f t="shared" si="5"/>
        <v>75</v>
      </c>
      <c r="B88" s="1">
        <f t="shared" si="6"/>
        <v>1900.1366062537422</v>
      </c>
      <c r="C88" s="1">
        <f t="shared" si="7"/>
        <v>1347.4488973480343</v>
      </c>
      <c r="D88" s="1">
        <f t="shared" si="8"/>
        <v>552.68770890570784</v>
      </c>
      <c r="E88" s="1">
        <f t="shared" si="9"/>
        <v>72344.245623413008</v>
      </c>
    </row>
    <row r="89" spans="1:5">
      <c r="A89">
        <f t="shared" si="5"/>
        <v>76</v>
      </c>
      <c r="B89" s="1">
        <f t="shared" si="6"/>
        <v>1900.1366062537422</v>
      </c>
      <c r="C89" s="1">
        <f t="shared" si="7"/>
        <v>1357.5547640781447</v>
      </c>
      <c r="D89" s="1">
        <f t="shared" si="8"/>
        <v>542.58184217559756</v>
      </c>
      <c r="E89" s="1">
        <f t="shared" si="9"/>
        <v>70986.690859334863</v>
      </c>
    </row>
    <row r="90" spans="1:5">
      <c r="A90">
        <f t="shared" si="5"/>
        <v>77</v>
      </c>
      <c r="B90" s="1">
        <f t="shared" si="6"/>
        <v>1900.1366062537422</v>
      </c>
      <c r="C90" s="1">
        <f t="shared" si="7"/>
        <v>1367.7364248087308</v>
      </c>
      <c r="D90" s="1">
        <f t="shared" si="8"/>
        <v>532.40018144501141</v>
      </c>
      <c r="E90" s="1">
        <f t="shared" si="9"/>
        <v>69618.954434526138</v>
      </c>
    </row>
    <row r="91" spans="1:5">
      <c r="A91">
        <f t="shared" si="5"/>
        <v>78</v>
      </c>
      <c r="B91" s="1">
        <f t="shared" si="6"/>
        <v>1900.1366062537422</v>
      </c>
      <c r="C91" s="1">
        <f t="shared" si="7"/>
        <v>1377.9944479947962</v>
      </c>
      <c r="D91" s="1">
        <f t="shared" si="8"/>
        <v>522.14215825894598</v>
      </c>
      <c r="E91" s="1">
        <f t="shared" si="9"/>
        <v>68240.959986531336</v>
      </c>
    </row>
    <row r="92" spans="1:5">
      <c r="A92">
        <f t="shared" si="5"/>
        <v>79</v>
      </c>
      <c r="B92" s="1">
        <f t="shared" si="6"/>
        <v>1900.1366062537422</v>
      </c>
      <c r="C92" s="1">
        <f t="shared" si="7"/>
        <v>1388.3294063547573</v>
      </c>
      <c r="D92" s="1">
        <f t="shared" si="8"/>
        <v>511.807199898985</v>
      </c>
      <c r="E92" s="1">
        <f t="shared" si="9"/>
        <v>66852.630580176585</v>
      </c>
    </row>
    <row r="93" spans="1:5">
      <c r="A93">
        <f t="shared" si="5"/>
        <v>80</v>
      </c>
      <c r="B93" s="1">
        <f t="shared" si="6"/>
        <v>1900.1366062537422</v>
      </c>
      <c r="C93" s="1">
        <f t="shared" si="7"/>
        <v>1398.741876902418</v>
      </c>
      <c r="D93" s="1">
        <f t="shared" si="8"/>
        <v>501.39472935132437</v>
      </c>
      <c r="E93" s="1">
        <f t="shared" si="9"/>
        <v>65453.88870327417</v>
      </c>
    </row>
    <row r="94" spans="1:5">
      <c r="A94">
        <f t="shared" si="5"/>
        <v>81</v>
      </c>
      <c r="B94" s="1">
        <f t="shared" si="6"/>
        <v>1900.1366062537422</v>
      </c>
      <c r="C94" s="1">
        <f t="shared" si="7"/>
        <v>1409.2324409791859</v>
      </c>
      <c r="D94" s="1">
        <f t="shared" si="8"/>
        <v>490.90416527455625</v>
      </c>
      <c r="E94" s="1">
        <f t="shared" si="9"/>
        <v>64044.656262294986</v>
      </c>
    </row>
    <row r="95" spans="1:5">
      <c r="A95">
        <f t="shared" si="5"/>
        <v>82</v>
      </c>
      <c r="B95" s="1">
        <f t="shared" si="6"/>
        <v>1900.1366062537422</v>
      </c>
      <c r="C95" s="1">
        <f t="shared" si="7"/>
        <v>1419.80168428653</v>
      </c>
      <c r="D95" s="1">
        <f t="shared" si="8"/>
        <v>480.33492196721238</v>
      </c>
      <c r="E95" s="1">
        <f t="shared" si="9"/>
        <v>62624.854578008453</v>
      </c>
    </row>
    <row r="96" spans="1:5">
      <c r="A96">
        <f t="shared" si="5"/>
        <v>83</v>
      </c>
      <c r="B96" s="1">
        <f t="shared" si="6"/>
        <v>1900.1366062537422</v>
      </c>
      <c r="C96" s="1">
        <f t="shared" si="7"/>
        <v>1430.4501969186788</v>
      </c>
      <c r="D96" s="1">
        <f t="shared" si="8"/>
        <v>469.68640933506339</v>
      </c>
      <c r="E96" s="1">
        <f t="shared" si="9"/>
        <v>61194.404381089771</v>
      </c>
    </row>
    <row r="97" spans="1:5">
      <c r="A97">
        <f t="shared" si="5"/>
        <v>84</v>
      </c>
      <c r="B97" s="1">
        <f t="shared" si="6"/>
        <v>1900.1366062537422</v>
      </c>
      <c r="C97" s="1">
        <f t="shared" si="7"/>
        <v>1441.1785733955689</v>
      </c>
      <c r="D97" s="1">
        <f t="shared" si="8"/>
        <v>458.95803285817328</v>
      </c>
      <c r="E97" s="1">
        <f t="shared" si="9"/>
        <v>59753.225807694202</v>
      </c>
    </row>
    <row r="98" spans="1:5">
      <c r="A98">
        <f t="shared" si="5"/>
        <v>85</v>
      </c>
      <c r="B98" s="1">
        <f t="shared" si="6"/>
        <v>1900.1366062537422</v>
      </c>
      <c r="C98" s="1">
        <f t="shared" si="7"/>
        <v>1451.9874126960358</v>
      </c>
      <c r="D98" s="1">
        <f t="shared" si="8"/>
        <v>448.1491935577065</v>
      </c>
      <c r="E98" s="1">
        <f t="shared" si="9"/>
        <v>58301.238394998167</v>
      </c>
    </row>
    <row r="99" spans="1:5">
      <c r="A99">
        <f t="shared" si="5"/>
        <v>86</v>
      </c>
      <c r="B99" s="1">
        <f t="shared" si="6"/>
        <v>1900.1366062537422</v>
      </c>
      <c r="C99" s="1">
        <f t="shared" si="7"/>
        <v>1462.877318291256</v>
      </c>
      <c r="D99" s="1">
        <f t="shared" si="8"/>
        <v>437.25928796248621</v>
      </c>
      <c r="E99" s="1">
        <f t="shared" si="9"/>
        <v>56838.361076706911</v>
      </c>
    </row>
    <row r="100" spans="1:5">
      <c r="A100">
        <f t="shared" si="5"/>
        <v>87</v>
      </c>
      <c r="B100" s="1">
        <f t="shared" si="6"/>
        <v>1900.1366062537422</v>
      </c>
      <c r="C100" s="1">
        <f t="shared" si="7"/>
        <v>1473.8488981784403</v>
      </c>
      <c r="D100" s="1">
        <f t="shared" si="8"/>
        <v>426.28770807530179</v>
      </c>
      <c r="E100" s="1">
        <f t="shared" si="9"/>
        <v>55364.512178528472</v>
      </c>
    </row>
    <row r="101" spans="1:5">
      <c r="A101">
        <f t="shared" si="5"/>
        <v>88</v>
      </c>
      <c r="B101" s="1">
        <f t="shared" si="6"/>
        <v>1900.1366062537422</v>
      </c>
      <c r="C101" s="1">
        <f t="shared" si="7"/>
        <v>1484.9027649147788</v>
      </c>
      <c r="D101" s="1">
        <f t="shared" si="8"/>
        <v>415.23384133896354</v>
      </c>
      <c r="E101" s="1">
        <f t="shared" si="9"/>
        <v>53879.609413613696</v>
      </c>
    </row>
    <row r="102" spans="1:5">
      <c r="A102">
        <f t="shared" si="5"/>
        <v>89</v>
      </c>
      <c r="B102" s="1">
        <f t="shared" si="6"/>
        <v>1900.1366062537422</v>
      </c>
      <c r="C102" s="1">
        <f t="shared" si="7"/>
        <v>1496.0395356516397</v>
      </c>
      <c r="D102" s="1">
        <f t="shared" si="8"/>
        <v>404.09707060210269</v>
      </c>
      <c r="E102" s="1">
        <f t="shared" si="9"/>
        <v>52383.569877962058</v>
      </c>
    </row>
    <row r="103" spans="1:5">
      <c r="A103">
        <f t="shared" si="5"/>
        <v>90</v>
      </c>
      <c r="B103" s="1">
        <f t="shared" si="6"/>
        <v>1900.1366062537422</v>
      </c>
      <c r="C103" s="1">
        <f t="shared" si="7"/>
        <v>1507.2598321690268</v>
      </c>
      <c r="D103" s="1">
        <f t="shared" si="8"/>
        <v>392.87677408471541</v>
      </c>
      <c r="E103" s="1">
        <f t="shared" si="9"/>
        <v>50876.310045793034</v>
      </c>
    </row>
    <row r="104" spans="1:5">
      <c r="A104">
        <f t="shared" si="5"/>
        <v>91</v>
      </c>
      <c r="B104" s="1">
        <f t="shared" si="6"/>
        <v>1900.1366062537422</v>
      </c>
      <c r="C104" s="1">
        <f t="shared" si="7"/>
        <v>1518.5642809102944</v>
      </c>
      <c r="D104" s="1">
        <f t="shared" si="8"/>
        <v>381.57232534344774</v>
      </c>
      <c r="E104" s="1">
        <f t="shared" si="9"/>
        <v>49357.74576488274</v>
      </c>
    </row>
    <row r="105" spans="1:5">
      <c r="A105">
        <f t="shared" si="5"/>
        <v>92</v>
      </c>
      <c r="B105" s="1">
        <f t="shared" si="6"/>
        <v>1900.1366062537422</v>
      </c>
      <c r="C105" s="1">
        <f t="shared" si="7"/>
        <v>1529.9535130171216</v>
      </c>
      <c r="D105" s="1">
        <f t="shared" si="8"/>
        <v>370.18309323662055</v>
      </c>
      <c r="E105" s="1">
        <f t="shared" si="9"/>
        <v>47827.79225186562</v>
      </c>
    </row>
    <row r="106" spans="1:5">
      <c r="A106">
        <f t="shared" si="5"/>
        <v>93</v>
      </c>
      <c r="B106" s="1">
        <f t="shared" si="6"/>
        <v>1900.1366062537422</v>
      </c>
      <c r="C106" s="1">
        <f t="shared" si="7"/>
        <v>1541.42816436475</v>
      </c>
      <c r="D106" s="1">
        <f t="shared" si="8"/>
        <v>358.70844188899213</v>
      </c>
      <c r="E106" s="1">
        <f t="shared" si="9"/>
        <v>46286.364087500871</v>
      </c>
    </row>
    <row r="107" spans="1:5">
      <c r="A107">
        <f t="shared" si="5"/>
        <v>94</v>
      </c>
      <c r="B107" s="1">
        <f t="shared" si="6"/>
        <v>1900.1366062537422</v>
      </c>
      <c r="C107" s="1">
        <f t="shared" si="7"/>
        <v>1552.9888755974857</v>
      </c>
      <c r="D107" s="1">
        <f t="shared" si="8"/>
        <v>347.1477306562565</v>
      </c>
      <c r="E107" s="1">
        <f t="shared" si="9"/>
        <v>44733.375211903389</v>
      </c>
    </row>
    <row r="108" spans="1:5">
      <c r="A108">
        <f t="shared" si="5"/>
        <v>95</v>
      </c>
      <c r="B108" s="1">
        <f t="shared" si="6"/>
        <v>1900.1366062537422</v>
      </c>
      <c r="C108" s="1">
        <f t="shared" si="7"/>
        <v>1564.6362921644668</v>
      </c>
      <c r="D108" s="1">
        <f t="shared" si="8"/>
        <v>335.50031408927538</v>
      </c>
      <c r="E108" s="1">
        <f t="shared" si="9"/>
        <v>43168.73891973892</v>
      </c>
    </row>
    <row r="109" spans="1:5">
      <c r="A109">
        <f t="shared" si="5"/>
        <v>96</v>
      </c>
      <c r="B109" s="1">
        <f t="shared" si="6"/>
        <v>1900.1366062537422</v>
      </c>
      <c r="C109" s="1">
        <f t="shared" si="7"/>
        <v>1576.3710643557004</v>
      </c>
      <c r="D109" s="1">
        <f t="shared" si="8"/>
        <v>323.76554189804187</v>
      </c>
      <c r="E109" s="1">
        <f t="shared" si="9"/>
        <v>41592.367855383221</v>
      </c>
    </row>
    <row r="110" spans="1:5">
      <c r="A110">
        <f t="shared" si="5"/>
        <v>97</v>
      </c>
      <c r="B110" s="1">
        <f t="shared" si="6"/>
        <v>1900.1366062537422</v>
      </c>
      <c r="C110" s="1">
        <f t="shared" si="7"/>
        <v>1588.193847338368</v>
      </c>
      <c r="D110" s="1">
        <f t="shared" si="8"/>
        <v>311.94275891537416</v>
      </c>
      <c r="E110" s="1">
        <f t="shared" si="9"/>
        <v>40004.174008044851</v>
      </c>
    </row>
    <row r="111" spans="1:5">
      <c r="A111">
        <f t="shared" si="5"/>
        <v>98</v>
      </c>
      <c r="B111" s="1">
        <f t="shared" si="6"/>
        <v>1900.1366062537422</v>
      </c>
      <c r="C111" s="1">
        <f t="shared" si="7"/>
        <v>1600.1053011934059</v>
      </c>
      <c r="D111" s="1">
        <f t="shared" si="8"/>
        <v>300.03130506033636</v>
      </c>
      <c r="E111" s="1">
        <f t="shared" si="9"/>
        <v>38404.068706851445</v>
      </c>
    </row>
    <row r="112" spans="1:5">
      <c r="A112">
        <f t="shared" si="5"/>
        <v>99</v>
      </c>
      <c r="B112" s="1">
        <f t="shared" si="6"/>
        <v>1900.1366062537422</v>
      </c>
      <c r="C112" s="1">
        <f t="shared" si="7"/>
        <v>1612.1060909523565</v>
      </c>
      <c r="D112" s="1">
        <f t="shared" si="8"/>
        <v>288.03051530138583</v>
      </c>
      <c r="E112" s="1">
        <f t="shared" si="9"/>
        <v>36791.962615899087</v>
      </c>
    </row>
    <row r="113" spans="1:5">
      <c r="A113">
        <f t="shared" si="5"/>
        <v>100</v>
      </c>
      <c r="B113" s="1">
        <f t="shared" si="6"/>
        <v>1900.1366062537422</v>
      </c>
      <c r="C113" s="1">
        <f t="shared" si="7"/>
        <v>1624.1968866344992</v>
      </c>
      <c r="D113" s="1">
        <f t="shared" si="8"/>
        <v>275.93971961924314</v>
      </c>
      <c r="E113" s="1">
        <f t="shared" si="9"/>
        <v>35167.765729264589</v>
      </c>
    </row>
    <row r="114" spans="1:5">
      <c r="A114">
        <f t="shared" si="5"/>
        <v>101</v>
      </c>
      <c r="B114" s="1">
        <f t="shared" si="6"/>
        <v>1900.1366062537422</v>
      </c>
      <c r="C114" s="1">
        <f t="shared" si="7"/>
        <v>1636.3783632842578</v>
      </c>
      <c r="D114" s="1">
        <f t="shared" si="8"/>
        <v>263.7582429694844</v>
      </c>
      <c r="E114" s="1">
        <f t="shared" si="9"/>
        <v>33531.387365980328</v>
      </c>
    </row>
    <row r="115" spans="1:5">
      <c r="A115">
        <f t="shared" si="5"/>
        <v>102</v>
      </c>
      <c r="B115" s="1">
        <f t="shared" si="6"/>
        <v>1900.1366062537422</v>
      </c>
      <c r="C115" s="1">
        <f t="shared" si="7"/>
        <v>1648.6512010088898</v>
      </c>
      <c r="D115" s="1">
        <f t="shared" si="8"/>
        <v>251.48540524485244</v>
      </c>
      <c r="E115" s="1">
        <f t="shared" si="9"/>
        <v>31882.73616497144</v>
      </c>
    </row>
    <row r="116" spans="1:5">
      <c r="A116">
        <f t="shared" si="5"/>
        <v>103</v>
      </c>
      <c r="B116" s="1">
        <f t="shared" si="6"/>
        <v>1900.1366062537422</v>
      </c>
      <c r="C116" s="1">
        <f t="shared" si="7"/>
        <v>1661.0160850164564</v>
      </c>
      <c r="D116" s="1">
        <f t="shared" si="8"/>
        <v>239.1205212372858</v>
      </c>
      <c r="E116" s="1">
        <f t="shared" si="9"/>
        <v>30221.720079954983</v>
      </c>
    </row>
    <row r="117" spans="1:5">
      <c r="A117">
        <f t="shared" si="5"/>
        <v>104</v>
      </c>
      <c r="B117" s="1">
        <f t="shared" si="6"/>
        <v>1900.1366062537422</v>
      </c>
      <c r="C117" s="1">
        <f t="shared" si="7"/>
        <v>1673.4737056540798</v>
      </c>
      <c r="D117" s="1">
        <f t="shared" si="8"/>
        <v>226.66290059966235</v>
      </c>
      <c r="E117" s="1">
        <f t="shared" si="9"/>
        <v>28548.246374300903</v>
      </c>
    </row>
    <row r="118" spans="1:5">
      <c r="A118">
        <f t="shared" si="5"/>
        <v>105</v>
      </c>
      <c r="B118" s="1">
        <f t="shared" si="6"/>
        <v>1900.1366062537422</v>
      </c>
      <c r="C118" s="1">
        <f t="shared" si="7"/>
        <v>1686.0247584464855</v>
      </c>
      <c r="D118" s="1">
        <f t="shared" si="8"/>
        <v>214.11184780725677</v>
      </c>
      <c r="E118" s="1">
        <f t="shared" si="9"/>
        <v>26862.221615854418</v>
      </c>
    </row>
    <row r="119" spans="1:5">
      <c r="A119">
        <f t="shared" si="5"/>
        <v>106</v>
      </c>
      <c r="B119" s="1">
        <f t="shared" si="6"/>
        <v>1900.1366062537422</v>
      </c>
      <c r="C119" s="1">
        <f t="shared" si="7"/>
        <v>1698.6699441348342</v>
      </c>
      <c r="D119" s="1">
        <f t="shared" si="8"/>
        <v>201.46666211890812</v>
      </c>
      <c r="E119" s="1">
        <f t="shared" si="9"/>
        <v>25163.551671719582</v>
      </c>
    </row>
    <row r="120" spans="1:5">
      <c r="A120">
        <f t="shared" si="5"/>
        <v>107</v>
      </c>
      <c r="B120" s="1">
        <f t="shared" si="6"/>
        <v>1900.1366062537422</v>
      </c>
      <c r="C120" s="1">
        <f t="shared" si="7"/>
        <v>1711.4099687158455</v>
      </c>
      <c r="D120" s="1">
        <f t="shared" si="8"/>
        <v>188.72663753789686</v>
      </c>
      <c r="E120" s="1">
        <f t="shared" si="9"/>
        <v>23452.141703003737</v>
      </c>
    </row>
    <row r="121" spans="1:5">
      <c r="A121">
        <f t="shared" si="5"/>
        <v>108</v>
      </c>
      <c r="B121" s="1">
        <f t="shared" si="6"/>
        <v>1900.1366062537422</v>
      </c>
      <c r="C121" s="1">
        <f t="shared" si="7"/>
        <v>1724.2455434812141</v>
      </c>
      <c r="D121" s="1">
        <f t="shared" si="8"/>
        <v>175.89106277252802</v>
      </c>
      <c r="E121" s="1">
        <f t="shared" si="9"/>
        <v>21727.896159522523</v>
      </c>
    </row>
    <row r="122" spans="1:5">
      <c r="A122">
        <f t="shared" si="5"/>
        <v>109</v>
      </c>
      <c r="B122" s="1">
        <f t="shared" si="6"/>
        <v>1900.1366062537422</v>
      </c>
      <c r="C122" s="1">
        <f t="shared" si="7"/>
        <v>1737.1773850573234</v>
      </c>
      <c r="D122" s="1">
        <f t="shared" si="8"/>
        <v>162.95922119641892</v>
      </c>
      <c r="E122" s="1">
        <f t="shared" si="9"/>
        <v>19990.7187744652</v>
      </c>
    </row>
    <row r="123" spans="1:5">
      <c r="A123">
        <f t="shared" si="5"/>
        <v>110</v>
      </c>
      <c r="B123" s="1">
        <f t="shared" si="6"/>
        <v>1900.1366062537422</v>
      </c>
      <c r="C123" s="1">
        <f t="shared" si="7"/>
        <v>1750.2062154452533</v>
      </c>
      <c r="D123" s="1">
        <f t="shared" si="8"/>
        <v>149.93039080848899</v>
      </c>
      <c r="E123" s="1">
        <f t="shared" si="9"/>
        <v>18240.512559019946</v>
      </c>
    </row>
    <row r="124" spans="1:5">
      <c r="A124">
        <f t="shared" si="5"/>
        <v>111</v>
      </c>
      <c r="B124" s="1">
        <f t="shared" si="6"/>
        <v>1900.1366062537422</v>
      </c>
      <c r="C124" s="1">
        <f t="shared" si="7"/>
        <v>1763.3327620610926</v>
      </c>
      <c r="D124" s="1">
        <f t="shared" si="8"/>
        <v>136.80384419264959</v>
      </c>
      <c r="E124" s="1">
        <f t="shared" si="9"/>
        <v>16477.179796958852</v>
      </c>
    </row>
    <row r="125" spans="1:5">
      <c r="A125">
        <f t="shared" si="5"/>
        <v>112</v>
      </c>
      <c r="B125" s="1">
        <f t="shared" si="6"/>
        <v>1900.1366062537422</v>
      </c>
      <c r="C125" s="1">
        <f t="shared" si="7"/>
        <v>1776.5577577765509</v>
      </c>
      <c r="D125" s="1">
        <f t="shared" si="8"/>
        <v>123.57884847719139</v>
      </c>
      <c r="E125" s="1">
        <f t="shared" si="9"/>
        <v>14700.622039182301</v>
      </c>
    </row>
    <row r="126" spans="1:5">
      <c r="A126">
        <f t="shared" si="5"/>
        <v>113</v>
      </c>
      <c r="B126" s="1">
        <f t="shared" si="6"/>
        <v>1900.1366062537422</v>
      </c>
      <c r="C126" s="1">
        <f t="shared" si="7"/>
        <v>1789.881940959875</v>
      </c>
      <c r="D126" s="1">
        <f t="shared" si="8"/>
        <v>110.25466529386725</v>
      </c>
      <c r="E126" s="1">
        <f t="shared" si="9"/>
        <v>12910.740098222426</v>
      </c>
    </row>
    <row r="127" spans="1:5">
      <c r="A127">
        <f t="shared" si="5"/>
        <v>114</v>
      </c>
      <c r="B127" s="1">
        <f t="shared" si="6"/>
        <v>1900.1366062537422</v>
      </c>
      <c r="C127" s="1">
        <f t="shared" si="7"/>
        <v>1803.3060555170741</v>
      </c>
      <c r="D127" s="1">
        <f t="shared" si="8"/>
        <v>96.830550736668187</v>
      </c>
      <c r="E127" s="1">
        <f t="shared" si="9"/>
        <v>11107.434042705352</v>
      </c>
    </row>
    <row r="128" spans="1:5">
      <c r="A128">
        <f t="shared" si="5"/>
        <v>115</v>
      </c>
      <c r="B128" s="1">
        <f t="shared" si="6"/>
        <v>1900.1366062537422</v>
      </c>
      <c r="C128" s="1">
        <f t="shared" si="7"/>
        <v>1816.830850933452</v>
      </c>
      <c r="D128" s="1">
        <f t="shared" si="8"/>
        <v>83.305755320290132</v>
      </c>
      <c r="E128" s="1">
        <f t="shared" si="9"/>
        <v>9290.603191771901</v>
      </c>
    </row>
    <row r="129" spans="1:5">
      <c r="A129">
        <f t="shared" si="5"/>
        <v>116</v>
      </c>
      <c r="B129" s="1">
        <f t="shared" si="6"/>
        <v>1900.1366062537422</v>
      </c>
      <c r="C129" s="1">
        <f t="shared" si="7"/>
        <v>1830.4570823154529</v>
      </c>
      <c r="D129" s="1">
        <f t="shared" si="8"/>
        <v>69.67952393828925</v>
      </c>
      <c r="E129" s="1">
        <f t="shared" si="9"/>
        <v>7460.1461094564484</v>
      </c>
    </row>
    <row r="130" spans="1:5">
      <c r="A130">
        <f t="shared" si="5"/>
        <v>117</v>
      </c>
      <c r="B130" s="1">
        <f t="shared" si="6"/>
        <v>1900.1366062537422</v>
      </c>
      <c r="C130" s="1">
        <f t="shared" si="7"/>
        <v>1844.1855104328188</v>
      </c>
      <c r="D130" s="1">
        <f t="shared" si="8"/>
        <v>55.951095820923364</v>
      </c>
      <c r="E130" s="1">
        <f t="shared" si="9"/>
        <v>5615.9605990236296</v>
      </c>
    </row>
    <row r="131" spans="1:5">
      <c r="A131">
        <f t="shared" si="5"/>
        <v>118</v>
      </c>
      <c r="B131" s="1">
        <f t="shared" si="6"/>
        <v>1900.1366062537422</v>
      </c>
      <c r="C131" s="1">
        <f t="shared" si="7"/>
        <v>1858.0169017610649</v>
      </c>
      <c r="D131" s="1">
        <f t="shared" si="8"/>
        <v>42.119704492677222</v>
      </c>
      <c r="E131" s="1">
        <f t="shared" si="9"/>
        <v>3757.9436972625645</v>
      </c>
    </row>
    <row r="132" spans="1:5">
      <c r="A132">
        <f t="shared" si="5"/>
        <v>119</v>
      </c>
      <c r="B132" s="1">
        <f t="shared" si="6"/>
        <v>1900.1366062537422</v>
      </c>
      <c r="C132" s="1">
        <f t="shared" si="7"/>
        <v>1871.9520285242729</v>
      </c>
      <c r="D132" s="1">
        <f t="shared" si="8"/>
        <v>28.184577729469233</v>
      </c>
      <c r="E132" s="1">
        <f t="shared" si="9"/>
        <v>1885.9916687382915</v>
      </c>
    </row>
    <row r="133" spans="1:5">
      <c r="A133">
        <f t="shared" si="5"/>
        <v>120</v>
      </c>
      <c r="B133" s="1">
        <f t="shared" si="6"/>
        <v>1900.1366062537422</v>
      </c>
      <c r="C133" s="1">
        <f t="shared" si="7"/>
        <v>1885.9916687382051</v>
      </c>
      <c r="D133" s="1">
        <f t="shared" si="8"/>
        <v>14.144937515537187</v>
      </c>
      <c r="E133" s="1">
        <f t="shared" si="9"/>
        <v>8.6401996668428183E-11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V9" sqref="V9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U11" sqref="U11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734533.0625263158</v>
      </c>
      <c r="H7" s="94">
        <f>'Profit and Loss Statement'!F21/'Profit and Loss Statement'!F8</f>
        <v>766002.16187368438</v>
      </c>
      <c r="I7" s="94">
        <f>'Profit and Loss Statement'!G21/'Profit and Loss Statement'!G8</f>
        <v>797819.68247052631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734533.0625263158</v>
      </c>
      <c r="H11" s="114">
        <f t="shared" ref="H11:K11" si="0">H7</f>
        <v>766002.16187368438</v>
      </c>
      <c r="I11" s="114">
        <f t="shared" si="0"/>
        <v>797819.68247052631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T24" sqref="T24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8"/>
      <c r="J8" s="128"/>
    </row>
    <row r="9" spans="5:10">
      <c r="E9" s="103" t="s">
        <v>12</v>
      </c>
      <c r="F9" s="104">
        <f>'Profit and Loss Statement'!E8</f>
        <v>0.95</v>
      </c>
      <c r="G9" s="104">
        <f>'Profit and Loss Statement'!F8</f>
        <v>0.95</v>
      </c>
      <c r="H9" s="101">
        <f>'Profit and Loss Statement'!G8</f>
        <v>0.95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0.16505342609847021</v>
      </c>
      <c r="G12" s="101">
        <f>'Profit and Loss Statement'!F28/'Profit and Loss Statement'!F6</f>
        <v>0.23162647951497253</v>
      </c>
      <c r="H12" s="101">
        <f>'Profit and Loss Statement'!G28/'Profit and Loss Statement'!G6</f>
        <v>0.27346358242032859</v>
      </c>
      <c r="I12" s="128"/>
      <c r="J12" s="128"/>
    </row>
    <row r="13" spans="5:10">
      <c r="E13" s="66" t="s">
        <v>92</v>
      </c>
      <c r="F13" s="105">
        <f>'Balance Sheet'!E10/'Balance Sheet'!E15</f>
        <v>1.4743786122695466</v>
      </c>
      <c r="G13" s="105">
        <f>'Balance Sheet'!F10/'Balance Sheet'!F15</f>
        <v>2.0691558041474591</v>
      </c>
      <c r="H13" s="105">
        <f>'Balance Sheet'!G10/'Balance Sheet'!G15</f>
        <v>2.9831954297089878</v>
      </c>
      <c r="I13" s="129"/>
      <c r="J13" s="129"/>
    </row>
    <row r="14" spans="5:10">
      <c r="E14" s="66" t="s">
        <v>93</v>
      </c>
      <c r="F14" s="105">
        <f>'Balance Sheet'!E17/'Balance Sheet'!E15</f>
        <v>0.47437861226954658</v>
      </c>
      <c r="G14" s="105">
        <f>'Balance Sheet'!F17/'Balance Sheet'!F15</f>
        <v>1.0691558041474594</v>
      </c>
      <c r="H14" s="105">
        <f>'Balance Sheet'!G17/'Balance Sheet'!G15</f>
        <v>1.983195429708988</v>
      </c>
      <c r="I14" s="129"/>
      <c r="J14" s="129"/>
    </row>
    <row r="15" spans="5:10">
      <c r="E15" s="66" t="s">
        <v>94</v>
      </c>
      <c r="F15" s="105">
        <f>'Balance Sheet'!E10/'Balance Sheet'!E17</f>
        <v>3.1080208384938528</v>
      </c>
      <c r="G15" s="105">
        <f>'Balance Sheet'!F10/'Balance Sheet'!F17</f>
        <v>1.9353173748117993</v>
      </c>
      <c r="H15" s="105">
        <f>'Balance Sheet'!G10/'Balance Sheet'!G17</f>
        <v>1.5042367408776951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0.81068287856148447</v>
      </c>
      <c r="G18" s="105">
        <f>'Balance Sheet'!F7/'Balance Sheet'!F10</f>
        <v>0.84148610807506019</v>
      </c>
      <c r="H18" s="105">
        <f>'Balance Sheet'!G7/'Balance Sheet'!G10</f>
        <v>0.85759015059189236</v>
      </c>
      <c r="I18" s="129"/>
      <c r="J18" s="129"/>
    </row>
    <row r="19" spans="5:10">
      <c r="E19" s="66" t="s">
        <v>96</v>
      </c>
      <c r="F19" s="105">
        <f>'Balance Sheet'!E7/'Balance Sheet'!E15</f>
        <v>1.1952534974841629</v>
      </c>
      <c r="G19" s="105">
        <f>'Balance Sheet'!F7/'Balance Sheet'!F15</f>
        <v>1.7411658646329669</v>
      </c>
      <c r="H19" s="105">
        <f>'Balance Sheet'!G7/'Balance Sheet'!G15</f>
        <v>2.5583590178091757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5" sqref="C5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1" width="11.7109375" customWidth="1"/>
    <col min="12" max="12" width="20.28515625" customWidth="1"/>
    <col min="13" max="13" width="16.7109375" customWidth="1"/>
    <col min="14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126</v>
      </c>
      <c r="C5" s="14">
        <v>150000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129</v>
      </c>
      <c r="C6" s="14">
        <v>100000</v>
      </c>
      <c r="G6" s="4" t="str">
        <f>B5</f>
        <v>Owner</v>
      </c>
      <c r="H6" s="14">
        <f t="shared" ref="H6:H15" si="0">H18*C5</f>
        <v>150000</v>
      </c>
      <c r="I6" s="14">
        <f t="shared" ref="I6:I15" si="1">D58*I18</f>
        <v>154500</v>
      </c>
      <c r="J6" s="14">
        <f t="shared" ref="J6:J15" si="2">E58*J18</f>
        <v>159135</v>
      </c>
      <c r="M6" s="117"/>
      <c r="N6" s="117"/>
    </row>
    <row r="7" spans="2:14">
      <c r="B7" s="4" t="s">
        <v>127</v>
      </c>
      <c r="C7" s="14">
        <v>50000</v>
      </c>
      <c r="G7" s="4" t="str">
        <f>B6</f>
        <v>Staff Nurses</v>
      </c>
      <c r="H7" s="14">
        <f t="shared" si="0"/>
        <v>100000</v>
      </c>
      <c r="I7" s="14">
        <f t="shared" si="1"/>
        <v>103000</v>
      </c>
      <c r="J7" s="14">
        <f t="shared" si="2"/>
        <v>106090</v>
      </c>
      <c r="M7" s="117"/>
      <c r="N7" s="117"/>
    </row>
    <row r="8" spans="2:14">
      <c r="B8" s="4" t="s">
        <v>128</v>
      </c>
      <c r="C8" s="14">
        <v>37500</v>
      </c>
      <c r="G8" s="4" t="str">
        <f>B7</f>
        <v>Assistants</v>
      </c>
      <c r="H8" s="14">
        <f t="shared" si="0"/>
        <v>150000</v>
      </c>
      <c r="I8" s="14">
        <f t="shared" si="1"/>
        <v>154500</v>
      </c>
      <c r="J8" s="14">
        <f t="shared" si="2"/>
        <v>159135</v>
      </c>
      <c r="M8" s="117"/>
      <c r="N8" s="117"/>
    </row>
    <row r="9" spans="2:14">
      <c r="B9" s="4" t="s">
        <v>125</v>
      </c>
      <c r="C9" s="14">
        <v>45000</v>
      </c>
      <c r="G9" s="4" t="str">
        <f>B8</f>
        <v>Billing Staff</v>
      </c>
      <c r="H9" s="14">
        <f t="shared" si="0"/>
        <v>37500</v>
      </c>
      <c r="I9" s="14">
        <f t="shared" si="1"/>
        <v>38625</v>
      </c>
      <c r="J9" s="14">
        <f t="shared" si="2"/>
        <v>39783.75</v>
      </c>
      <c r="M9" s="117"/>
      <c r="N9" s="117"/>
    </row>
    <row r="10" spans="2:14">
      <c r="B10" s="4" t="s">
        <v>121</v>
      </c>
      <c r="C10" s="14">
        <v>0</v>
      </c>
      <c r="G10" s="4" t="str">
        <f>B9</f>
        <v>Administrative Staff</v>
      </c>
      <c r="H10" s="14">
        <f t="shared" si="0"/>
        <v>90000</v>
      </c>
      <c r="I10" s="14">
        <f t="shared" si="1"/>
        <v>92700</v>
      </c>
      <c r="J10" s="14">
        <f t="shared" si="2"/>
        <v>95481</v>
      </c>
      <c r="M10" s="117"/>
      <c r="N10" s="117"/>
    </row>
    <row r="11" spans="2:14">
      <c r="B11" s="4" t="s">
        <v>133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7"/>
      <c r="N11" s="117"/>
    </row>
    <row r="12" spans="2:14">
      <c r="B12" s="4" t="s">
        <v>134</v>
      </c>
      <c r="C12" s="14">
        <v>0</v>
      </c>
      <c r="G12" s="4" t="str">
        <f>B30</f>
        <v>Postion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135</v>
      </c>
      <c r="C13" s="14">
        <v>0</v>
      </c>
      <c r="G13" s="4" t="str">
        <f>B31</f>
        <v>Postion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122</v>
      </c>
      <c r="C14" s="14">
        <v>0</v>
      </c>
      <c r="G14" s="4" t="str">
        <f>B32</f>
        <v>Postion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527500</v>
      </c>
      <c r="I16" s="9">
        <f t="shared" ref="I16:J16" si="3">SUM(I6:I15)</f>
        <v>543325</v>
      </c>
      <c r="J16" s="9">
        <f t="shared" si="3"/>
        <v>559624.75</v>
      </c>
      <c r="M16" s="118"/>
      <c r="N16" s="118"/>
    </row>
    <row r="17" spans="2:20">
      <c r="M17" s="30"/>
      <c r="N17" s="30"/>
    </row>
    <row r="18" spans="2:20">
      <c r="G18" s="4" t="str">
        <f>G6</f>
        <v>Owner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Staff Nurses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Assistants</v>
      </c>
      <c r="H20" s="4">
        <f t="shared" si="4"/>
        <v>3</v>
      </c>
      <c r="I20" s="4">
        <f t="shared" si="5"/>
        <v>3</v>
      </c>
      <c r="J20" s="4">
        <f t="shared" si="6"/>
        <v>3</v>
      </c>
      <c r="M20" s="30"/>
      <c r="N20" s="30"/>
    </row>
    <row r="21" spans="2:20">
      <c r="G21" s="4" t="str">
        <f>G9</f>
        <v>Billing Staff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2</v>
      </c>
      <c r="I22" s="4">
        <f t="shared" si="5"/>
        <v>2</v>
      </c>
      <c r="J22" s="4">
        <f t="shared" si="6"/>
        <v>2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Owner</v>
      </c>
      <c r="C24" s="5">
        <v>1</v>
      </c>
      <c r="D24" s="5">
        <v>1</v>
      </c>
      <c r="E24" s="5">
        <v>1</v>
      </c>
      <c r="F24" s="140"/>
      <c r="G24" s="4" t="str">
        <f t="shared" si="7"/>
        <v>Postion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 t="shared" ref="B25:B33" si="8">B6</f>
        <v>Staff Nurses</v>
      </c>
      <c r="C25" s="5">
        <v>1</v>
      </c>
      <c r="D25" s="5">
        <v>1</v>
      </c>
      <c r="E25" s="5">
        <v>1</v>
      </c>
      <c r="G25" s="4" t="str">
        <f t="shared" si="7"/>
        <v>Postion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 t="shared" si="8"/>
        <v>Assistants</v>
      </c>
      <c r="C26" s="5">
        <v>3</v>
      </c>
      <c r="D26" s="5">
        <v>3</v>
      </c>
      <c r="E26" s="5">
        <v>3</v>
      </c>
      <c r="F26" s="140"/>
      <c r="G26" s="4" t="str">
        <f t="shared" si="7"/>
        <v>Postion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 t="shared" si="8"/>
        <v>Billing Staff</v>
      </c>
      <c r="C27" s="5">
        <v>1</v>
      </c>
      <c r="D27" s="5">
        <v>1</v>
      </c>
      <c r="E27" s="5">
        <v>1</v>
      </c>
      <c r="F27" s="140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 t="shared" si="8"/>
        <v>Administrative Staff</v>
      </c>
      <c r="C28" s="5">
        <v>2</v>
      </c>
      <c r="D28" s="5">
        <v>2</v>
      </c>
      <c r="E28" s="5">
        <v>2</v>
      </c>
      <c r="F28" s="140"/>
      <c r="G28" s="10" t="s">
        <v>8</v>
      </c>
      <c r="H28" s="10">
        <f>SUM(H18:H27)</f>
        <v>8</v>
      </c>
      <c r="I28" s="10">
        <f t="shared" ref="I28:J28" si="9">SUM(I18:I27)</f>
        <v>8</v>
      </c>
      <c r="J28" s="10">
        <f t="shared" si="9"/>
        <v>8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tr">
        <f t="shared" si="8"/>
        <v>Position 6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tr">
        <f t="shared" si="8"/>
        <v>Postion 7</v>
      </c>
      <c r="C30" s="5"/>
      <c r="D30" s="5"/>
      <c r="E30" s="5"/>
      <c r="L30" s="112"/>
      <c r="M30" s="112"/>
      <c r="N30" s="112"/>
      <c r="O30" s="112"/>
      <c r="P30" s="115"/>
      <c r="Q30" s="115"/>
      <c r="R30" s="115"/>
      <c r="S30" s="115"/>
      <c r="T30" s="115"/>
    </row>
    <row r="31" spans="2:20">
      <c r="B31" s="15" t="str">
        <f t="shared" si="8"/>
        <v>Postion 8</v>
      </c>
      <c r="C31" s="5"/>
      <c r="D31" s="5"/>
      <c r="E31" s="5"/>
      <c r="L31" s="112" t="str">
        <f>G6</f>
        <v>Owner</v>
      </c>
      <c r="M31" s="113">
        <f>J6/$J$16</f>
        <v>0.28436018957345971</v>
      </c>
      <c r="N31" s="112"/>
      <c r="O31" s="112"/>
      <c r="P31" s="115"/>
      <c r="Q31" s="115"/>
      <c r="R31" s="115"/>
      <c r="S31" s="115"/>
      <c r="T31" s="115"/>
    </row>
    <row r="32" spans="2:20">
      <c r="B32" s="15" t="str">
        <f t="shared" si="8"/>
        <v>Postion 9</v>
      </c>
      <c r="C32" s="5"/>
      <c r="D32" s="5"/>
      <c r="E32" s="5"/>
      <c r="F32" s="30"/>
      <c r="G32" s="30"/>
      <c r="L32" s="112" t="str">
        <f>G7</f>
        <v>Staff Nurses</v>
      </c>
      <c r="M32" s="113">
        <f>J7/$J$16</f>
        <v>0.1895734597156398</v>
      </c>
      <c r="N32" s="112"/>
      <c r="O32" s="112"/>
      <c r="P32" s="115"/>
      <c r="Q32" s="115"/>
      <c r="T32" s="115"/>
    </row>
    <row r="33" spans="2:20">
      <c r="B33" s="15" t="str">
        <f t="shared" si="8"/>
        <v>Position 10</v>
      </c>
      <c r="C33" s="5"/>
      <c r="D33" s="5"/>
      <c r="E33" s="5"/>
      <c r="F33" s="30"/>
      <c r="G33" s="30"/>
      <c r="L33" s="112" t="str">
        <f>G8</f>
        <v>Assistants</v>
      </c>
      <c r="M33" s="113">
        <f>J8/$J$16</f>
        <v>0.28436018957345971</v>
      </c>
      <c r="N33" s="112"/>
      <c r="O33" s="112"/>
      <c r="P33" s="115"/>
      <c r="Q33" s="115"/>
      <c r="T33" s="115"/>
    </row>
    <row r="34" spans="2:20">
      <c r="F34" s="43"/>
      <c r="G34" s="43"/>
      <c r="L34" s="112" t="str">
        <f>G9</f>
        <v>Billing Staff</v>
      </c>
      <c r="M34" s="113">
        <f>J9/$J$16</f>
        <v>7.1090047393364927E-2</v>
      </c>
      <c r="N34" s="112"/>
      <c r="O34" s="112"/>
      <c r="P34" s="115"/>
      <c r="Q34" s="115"/>
      <c r="T34" s="115"/>
    </row>
    <row r="35" spans="2:20">
      <c r="F35" s="43"/>
      <c r="G35" s="43"/>
      <c r="L35" s="112" t="str">
        <f>G10</f>
        <v>Administrative Staff</v>
      </c>
      <c r="M35" s="113">
        <f>J10/$J$16</f>
        <v>0.17061611374407584</v>
      </c>
      <c r="N35" s="112"/>
      <c r="O35" s="112"/>
      <c r="P35" s="115"/>
      <c r="Q35" s="115"/>
      <c r="T35" s="115"/>
    </row>
    <row r="36" spans="2:20">
      <c r="F36" s="43"/>
      <c r="G36" s="43"/>
      <c r="L36" s="112" t="str">
        <f t="shared" ref="L36:L40" si="10">G11</f>
        <v>Position 6</v>
      </c>
      <c r="M36" s="113">
        <f t="shared" ref="M36:M40" si="11">J11/$J$16</f>
        <v>0</v>
      </c>
      <c r="N36" s="112"/>
      <c r="O36" s="112"/>
      <c r="P36" s="115"/>
      <c r="Q36" s="115"/>
      <c r="T36" s="115"/>
    </row>
    <row r="37" spans="2:20">
      <c r="F37" s="43"/>
      <c r="G37" s="43"/>
      <c r="L37" s="112" t="str">
        <f t="shared" si="10"/>
        <v>Postion 7</v>
      </c>
      <c r="M37" s="113">
        <f t="shared" si="11"/>
        <v>0</v>
      </c>
      <c r="N37" s="112"/>
      <c r="O37" s="112"/>
      <c r="P37" s="115"/>
      <c r="Q37" s="115"/>
      <c r="R37" s="115"/>
      <c r="S37" s="116"/>
      <c r="T37" s="115"/>
    </row>
    <row r="38" spans="2:20">
      <c r="F38" s="43"/>
      <c r="G38" s="43"/>
      <c r="L38" s="112" t="str">
        <f t="shared" si="10"/>
        <v>Postion 8</v>
      </c>
      <c r="M38" s="113">
        <f t="shared" si="11"/>
        <v>0</v>
      </c>
      <c r="N38" s="112"/>
      <c r="O38" s="112"/>
      <c r="Q38" s="112"/>
      <c r="R38" s="112"/>
      <c r="S38" s="113"/>
    </row>
    <row r="39" spans="2:20">
      <c r="F39" s="43"/>
      <c r="G39" s="43"/>
      <c r="L39" s="112" t="str">
        <f t="shared" si="10"/>
        <v>Postion 9</v>
      </c>
      <c r="M39" s="113">
        <f t="shared" si="11"/>
        <v>0</v>
      </c>
      <c r="N39" s="112"/>
      <c r="O39" s="112"/>
      <c r="S39" s="111"/>
    </row>
    <row r="40" spans="2:20">
      <c r="F40" s="43"/>
      <c r="G40" s="43"/>
      <c r="L40" s="112" t="str">
        <f t="shared" si="10"/>
        <v>Position 10</v>
      </c>
      <c r="M40" s="113">
        <f t="shared" si="11"/>
        <v>0</v>
      </c>
      <c r="N40" s="112"/>
      <c r="O40" s="112"/>
    </row>
    <row r="41" spans="2:20">
      <c r="F41" s="43"/>
      <c r="G41" s="43"/>
      <c r="L41" s="112"/>
      <c r="M41" s="112"/>
      <c r="N41" s="112"/>
      <c r="O41" s="112"/>
    </row>
    <row r="42" spans="2:20">
      <c r="F42" s="43"/>
      <c r="G42" s="43"/>
      <c r="L42" s="112"/>
      <c r="M42" s="112"/>
      <c r="N42" s="112"/>
      <c r="O42" s="112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Owner</v>
      </c>
      <c r="C58" s="14">
        <f>C5</f>
        <v>150000</v>
      </c>
      <c r="D58" s="14">
        <f>C58*(1+$C$53)</f>
        <v>154500</v>
      </c>
      <c r="E58" s="14">
        <f>D58*(1+$C$53)</f>
        <v>159135</v>
      </c>
      <c r="F58" s="14">
        <f>E58*(1+$C$53)</f>
        <v>163909.05000000002</v>
      </c>
      <c r="G58" s="14">
        <f>F58*(1+$C$53)</f>
        <v>168826.32150000002</v>
      </c>
    </row>
    <row r="59" spans="2:7">
      <c r="B59" s="4" t="str">
        <f t="shared" ref="B59:C67" si="12">B6</f>
        <v>Staff Nurses</v>
      </c>
      <c r="C59" s="14">
        <f t="shared" si="12"/>
        <v>100000</v>
      </c>
      <c r="D59" s="14">
        <f t="shared" ref="D59:G59" si="13">C59*(1+$C$53)</f>
        <v>103000</v>
      </c>
      <c r="E59" s="14">
        <f t="shared" si="13"/>
        <v>106090</v>
      </c>
      <c r="F59" s="14">
        <f t="shared" si="13"/>
        <v>109272.7</v>
      </c>
      <c r="G59" s="14">
        <f t="shared" si="13"/>
        <v>112550.88099999999</v>
      </c>
    </row>
    <row r="60" spans="2:7">
      <c r="B60" s="4" t="str">
        <f t="shared" si="12"/>
        <v>Assistants</v>
      </c>
      <c r="C60" s="14">
        <f t="shared" si="12"/>
        <v>50000</v>
      </c>
      <c r="D60" s="14">
        <f t="shared" ref="D60:G60" si="14">C60*(1+$C$53)</f>
        <v>51500</v>
      </c>
      <c r="E60" s="14">
        <f t="shared" si="14"/>
        <v>53045</v>
      </c>
      <c r="F60" s="14">
        <f t="shared" si="14"/>
        <v>54636.35</v>
      </c>
      <c r="G60" s="14">
        <f t="shared" si="14"/>
        <v>56275.440499999997</v>
      </c>
    </row>
    <row r="61" spans="2:7">
      <c r="B61" s="4" t="str">
        <f t="shared" si="12"/>
        <v>Billing Staff</v>
      </c>
      <c r="C61" s="14">
        <f t="shared" si="12"/>
        <v>37500</v>
      </c>
      <c r="D61" s="14">
        <f t="shared" ref="D61:G61" si="15">C61*(1+$C$53)</f>
        <v>38625</v>
      </c>
      <c r="E61" s="14">
        <f t="shared" si="15"/>
        <v>39783.75</v>
      </c>
      <c r="F61" s="14">
        <f t="shared" si="15"/>
        <v>40977.262500000004</v>
      </c>
      <c r="G61" s="14">
        <f t="shared" si="15"/>
        <v>42206.580375000005</v>
      </c>
    </row>
    <row r="62" spans="2:7">
      <c r="B62" s="4" t="str">
        <f t="shared" si="12"/>
        <v>Administrative Staff</v>
      </c>
      <c r="C62" s="14">
        <f t="shared" si="12"/>
        <v>45000</v>
      </c>
      <c r="D62" s="14">
        <f t="shared" ref="D62:G62" si="16">C62*(1+$C$53)</f>
        <v>46350</v>
      </c>
      <c r="E62" s="14">
        <f t="shared" si="16"/>
        <v>47740.5</v>
      </c>
      <c r="F62" s="14">
        <f t="shared" si="16"/>
        <v>49172.715000000004</v>
      </c>
      <c r="G62" s="14">
        <f t="shared" si="16"/>
        <v>50647.896450000007</v>
      </c>
    </row>
    <row r="63" spans="2:7">
      <c r="B63" s="4" t="str">
        <f t="shared" si="12"/>
        <v>Position 6</v>
      </c>
      <c r="C63" s="14">
        <f t="shared" si="12"/>
        <v>0</v>
      </c>
      <c r="D63" s="14">
        <f t="shared" ref="D63:G63" si="17">C63*(1+$C$53)</f>
        <v>0</v>
      </c>
      <c r="E63" s="14">
        <f t="shared" si="17"/>
        <v>0</v>
      </c>
      <c r="F63" s="14">
        <f t="shared" si="17"/>
        <v>0</v>
      </c>
      <c r="G63" s="14">
        <f t="shared" si="17"/>
        <v>0</v>
      </c>
    </row>
    <row r="64" spans="2:7">
      <c r="B64" s="4" t="str">
        <f t="shared" si="12"/>
        <v>Postion 7</v>
      </c>
      <c r="C64" s="14">
        <f t="shared" si="12"/>
        <v>0</v>
      </c>
      <c r="D64" s="14">
        <f t="shared" ref="D64:G64" si="18">C64*(1+$C$53)</f>
        <v>0</v>
      </c>
      <c r="E64" s="14">
        <f t="shared" si="18"/>
        <v>0</v>
      </c>
      <c r="F64" s="14">
        <f t="shared" si="18"/>
        <v>0</v>
      </c>
      <c r="G64" s="14">
        <f t="shared" si="18"/>
        <v>0</v>
      </c>
    </row>
    <row r="65" spans="2:7">
      <c r="B65" s="4" t="str">
        <f t="shared" si="12"/>
        <v>Postion 8</v>
      </c>
      <c r="C65" s="14">
        <f t="shared" si="12"/>
        <v>0</v>
      </c>
      <c r="D65" s="14">
        <f t="shared" ref="D65:G65" si="19">C65*(1+$C$53)</f>
        <v>0</v>
      </c>
      <c r="E65" s="14">
        <f t="shared" si="19"/>
        <v>0</v>
      </c>
      <c r="F65" s="14">
        <f t="shared" si="19"/>
        <v>0</v>
      </c>
      <c r="G65" s="14">
        <f t="shared" si="19"/>
        <v>0</v>
      </c>
    </row>
    <row r="66" spans="2:7">
      <c r="B66" s="4" t="str">
        <f t="shared" si="12"/>
        <v>Postion 9</v>
      </c>
      <c r="C66" s="14">
        <f t="shared" si="12"/>
        <v>0</v>
      </c>
      <c r="D66" s="14">
        <f t="shared" ref="D66:G66" si="20">C66*(1+$C$53)</f>
        <v>0</v>
      </c>
      <c r="E66" s="14">
        <f t="shared" si="20"/>
        <v>0</v>
      </c>
      <c r="F66" s="14">
        <f t="shared" si="20"/>
        <v>0</v>
      </c>
      <c r="G66" s="14">
        <f t="shared" si="20"/>
        <v>0</v>
      </c>
    </row>
    <row r="67" spans="2:7">
      <c r="B67" s="4" t="str">
        <f t="shared" si="12"/>
        <v>Position 10</v>
      </c>
      <c r="C67" s="14">
        <f t="shared" si="12"/>
        <v>0</v>
      </c>
      <c r="D67" s="14">
        <f t="shared" ref="D67:G67" si="21">C67*(1+$C$53)</f>
        <v>0</v>
      </c>
      <c r="E67" s="14">
        <f t="shared" si="21"/>
        <v>0</v>
      </c>
      <c r="F67" s="14">
        <f t="shared" si="21"/>
        <v>0</v>
      </c>
      <c r="G67" s="14">
        <f t="shared" si="21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K23" sqref="K23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5"/>
      <c r="J5" s="108"/>
      <c r="K5" s="109"/>
      <c r="L5" s="109"/>
      <c r="M5" s="109"/>
    </row>
    <row r="6" spans="5:13">
      <c r="E6" s="94" t="str">
        <f>Inputs!B5</f>
        <v>Medical Spa Services</v>
      </c>
      <c r="F6" s="94">
        <f>SUM(Inputs!C32:N32)</f>
        <v>961320</v>
      </c>
      <c r="G6" s="94">
        <f t="shared" ref="G6:H15" si="0">F6*(1+G$5)</f>
        <v>1153584</v>
      </c>
      <c r="H6" s="94">
        <f t="shared" si="0"/>
        <v>1326621.5999999999</v>
      </c>
      <c r="I6" s="127"/>
      <c r="J6" s="94" t="str">
        <f>E6</f>
        <v>Medical Spa Services</v>
      </c>
      <c r="K6" s="143">
        <f>F6/$F$16</f>
        <v>0.95238095238095233</v>
      </c>
      <c r="L6" s="143">
        <f>G6/$G$16</f>
        <v>0.95238095238095244</v>
      </c>
      <c r="M6" s="143">
        <f>H6/$H$16</f>
        <v>0.95238095238095233</v>
      </c>
    </row>
    <row r="7" spans="5:13">
      <c r="E7" s="94" t="str">
        <f>Inputs!B6</f>
        <v>Product Sales</v>
      </c>
      <c r="F7" s="94">
        <f>SUM(Inputs!C33:N33)</f>
        <v>48066</v>
      </c>
      <c r="G7" s="94">
        <f t="shared" si="0"/>
        <v>57679.199999999997</v>
      </c>
      <c r="H7" s="94">
        <f t="shared" si="0"/>
        <v>66331.079999999987</v>
      </c>
      <c r="I7" s="127"/>
      <c r="J7" s="94" t="str">
        <f t="shared" ref="J7:J15" si="1">E7</f>
        <v>Product Sales</v>
      </c>
      <c r="K7" s="143">
        <f t="shared" ref="K7:K15" si="2">F7/$F$16</f>
        <v>4.7619047619047616E-2</v>
      </c>
      <c r="L7" s="143">
        <f t="shared" ref="L7:L15" si="3">G7/$G$16</f>
        <v>4.7619047619047616E-2</v>
      </c>
      <c r="M7" s="143">
        <f t="shared" ref="M7:M15" si="4">H7/$H$16</f>
        <v>4.7619047619047609E-2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1009386</v>
      </c>
      <c r="G16" s="99">
        <f>SUM(G6:G15)</f>
        <v>1211263.2</v>
      </c>
      <c r="H16" s="99">
        <f>SUM(H6:H15)</f>
        <v>1392952.68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5"/>
      <c r="K20" s="125"/>
      <c r="L20" s="125"/>
      <c r="M20" s="125"/>
    </row>
    <row r="21" spans="5:13">
      <c r="E21" s="94" t="str">
        <f>E6</f>
        <v>Medical Spa Services</v>
      </c>
      <c r="F21" s="94">
        <f>SUM(Inputs!C51:N51)</f>
        <v>48066</v>
      </c>
      <c r="G21" s="94">
        <f t="shared" ref="G21:H30" si="5">F21*(1+G$20)</f>
        <v>57679.199999999997</v>
      </c>
      <c r="H21" s="94">
        <f t="shared" si="5"/>
        <v>66331.079999999987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Product Sales</v>
      </c>
      <c r="F22" s="94">
        <f>SUM(Inputs!C52:N52)</f>
        <v>2403.3000000000002</v>
      </c>
      <c r="G22" s="94">
        <f t="shared" si="5"/>
        <v>2883.96</v>
      </c>
      <c r="H22" s="94">
        <f t="shared" si="5"/>
        <v>3316.5539999999996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50469.3</v>
      </c>
      <c r="G31" s="100">
        <f>SUM(G21:G30)</f>
        <v>60563.159999999996</v>
      </c>
      <c r="H31" s="100">
        <f>SUM(H21:H30)</f>
        <v>69647.633999999991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E22" sqref="E22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116</v>
      </c>
      <c r="E6" s="6">
        <v>50000</v>
      </c>
    </row>
    <row r="7" spans="4:5">
      <c r="D7" s="21" t="s">
        <v>117</v>
      </c>
      <c r="E7" s="6">
        <v>50000</v>
      </c>
    </row>
    <row r="8" spans="4:5">
      <c r="D8" s="21" t="s">
        <v>115</v>
      </c>
      <c r="E8" s="6">
        <v>35000</v>
      </c>
    </row>
    <row r="9" spans="4:5">
      <c r="D9" s="21" t="s">
        <v>0</v>
      </c>
      <c r="E9" s="6">
        <v>40000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175000</v>
      </c>
    </row>
    <row r="20" spans="4:5">
      <c r="D20" s="7" t="s">
        <v>97</v>
      </c>
      <c r="E20" s="3"/>
    </row>
    <row r="21" spans="4:5">
      <c r="D21" s="4" t="s">
        <v>98</v>
      </c>
      <c r="E21" s="14">
        <v>25000</v>
      </c>
    </row>
    <row r="22" spans="4:5">
      <c r="D22" s="4" t="s">
        <v>99</v>
      </c>
      <c r="E22" s="14">
        <v>150000</v>
      </c>
    </row>
    <row r="23" spans="4:5">
      <c r="D23" s="4" t="s">
        <v>100</v>
      </c>
      <c r="E23" s="14">
        <f>SUM(E21:E22)</f>
        <v>175000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5">
      <c r="D33" s="120"/>
      <c r="E33" s="1"/>
    </row>
    <row r="34" spans="4:5">
      <c r="D34" s="120"/>
      <c r="E34" s="1"/>
    </row>
    <row r="35" spans="4:5">
      <c r="D35" s="120"/>
      <c r="E35" s="1"/>
    </row>
    <row r="36" spans="4:5">
      <c r="D36" s="120"/>
      <c r="E36" s="1"/>
    </row>
    <row r="37" spans="4:5">
      <c r="D37" s="120"/>
      <c r="E37" s="1"/>
    </row>
    <row r="38" spans="4:5">
      <c r="D38" s="121"/>
      <c r="E38" s="122"/>
    </row>
    <row r="40" spans="4:5">
      <c r="D40" s="112"/>
    </row>
    <row r="41" spans="4:5">
      <c r="D41" s="120"/>
      <c r="E41" s="1"/>
    </row>
    <row r="42" spans="4:5">
      <c r="D42" s="120"/>
      <c r="E42" s="1"/>
    </row>
    <row r="43" spans="4:5">
      <c r="D43" s="120"/>
      <c r="E43" s="1"/>
    </row>
    <row r="44" spans="4:5">
      <c r="D44" s="120"/>
      <c r="E44" s="1"/>
    </row>
    <row r="45" spans="4:5">
      <c r="D45" s="120"/>
      <c r="E45" s="1"/>
    </row>
    <row r="46" spans="4:5">
      <c r="D46" s="120"/>
      <c r="E46" s="1"/>
    </row>
    <row r="47" spans="4:5">
      <c r="D47" s="120"/>
      <c r="E47" s="1"/>
    </row>
    <row r="48" spans="4:5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V12" sqref="V12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1009386</v>
      </c>
      <c r="F6" s="69">
        <f>'Revenue Overview'!G16</f>
        <v>1211263.2</v>
      </c>
      <c r="G6" s="81">
        <f>'Revenue Overview'!H16</f>
        <v>1392952.68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50469.3</v>
      </c>
      <c r="F7" s="71">
        <f>'Revenue Overview'!G31</f>
        <v>60563.159999999996</v>
      </c>
      <c r="G7" s="80">
        <f>'Revenue Overview'!H31</f>
        <v>69647.633999999991</v>
      </c>
      <c r="H7" s="136"/>
      <c r="I7" s="136"/>
      <c r="J7" s="115"/>
      <c r="K7" s="112" t="s">
        <v>51</v>
      </c>
      <c r="L7" s="114">
        <f>E6</f>
        <v>1009386</v>
      </c>
      <c r="M7" s="114">
        <f>F6</f>
        <v>1211263.2</v>
      </c>
      <c r="N7" s="114">
        <f>G6</f>
        <v>1392952.68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0.95</v>
      </c>
      <c r="F8" s="73">
        <f t="shared" ref="F8:G8" si="0">1-(F7/F6)</f>
        <v>0.95</v>
      </c>
      <c r="G8" s="133">
        <f t="shared" si="0"/>
        <v>0.95</v>
      </c>
      <c r="H8" s="138"/>
      <c r="I8" s="138"/>
      <c r="J8" s="115"/>
      <c r="K8" s="112" t="s">
        <v>76</v>
      </c>
      <c r="L8" s="114">
        <f>E6</f>
        <v>1009386</v>
      </c>
      <c r="M8" s="114">
        <f>F6</f>
        <v>1211263.2</v>
      </c>
      <c r="N8" s="114">
        <f>G6</f>
        <v>1392952.68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958916.7</v>
      </c>
      <c r="F10" s="76">
        <f t="shared" ref="F10:G10" si="1">F6-F7</f>
        <v>1150700.04</v>
      </c>
      <c r="G10" s="84">
        <f t="shared" si="1"/>
        <v>1323305.0459999999</v>
      </c>
      <c r="H10" s="135"/>
      <c r="I10" s="135"/>
      <c r="J10" s="115"/>
      <c r="K10" s="112" t="s">
        <v>47</v>
      </c>
      <c r="L10" s="114">
        <f>E23</f>
        <v>261110.29059999995</v>
      </c>
      <c r="M10" s="114">
        <f>F23</f>
        <v>422997.98621999996</v>
      </c>
      <c r="N10" s="114">
        <f>G23</f>
        <v>565376.34765299992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261110.29059999995</v>
      </c>
      <c r="M11" s="114">
        <f t="shared" ref="M11:N11" si="2">M10</f>
        <v>422997.98621999996</v>
      </c>
      <c r="N11" s="114">
        <f t="shared" si="2"/>
        <v>565376.34765299992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527500</v>
      </c>
      <c r="F13" s="78">
        <f>'Personnel - Editable'!I16</f>
        <v>543325</v>
      </c>
      <c r="G13" s="78">
        <f>'Personnel - Editable'!J16</f>
        <v>559624.75</v>
      </c>
      <c r="H13" s="136"/>
      <c r="I13" s="136"/>
      <c r="J13" s="115"/>
      <c r="K13" s="112" t="s">
        <v>75</v>
      </c>
      <c r="L13" s="114">
        <f>E21</f>
        <v>697806.4094</v>
      </c>
      <c r="M13" s="114">
        <f>F21</f>
        <v>727702.05378000007</v>
      </c>
      <c r="N13" s="114">
        <f>G21</f>
        <v>757928.69834699994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50000</v>
      </c>
      <c r="F14" s="80">
        <f>Inputs!D18</f>
        <v>51500</v>
      </c>
      <c r="G14" s="80">
        <f>Inputs!E18</f>
        <v>53045</v>
      </c>
      <c r="H14" s="136"/>
      <c r="I14" s="136"/>
      <c r="J14" s="115"/>
      <c r="K14" s="112" t="s">
        <v>78</v>
      </c>
      <c r="L14" s="114">
        <f>E21</f>
        <v>697806.4094</v>
      </c>
      <c r="M14" s="114">
        <f>F21</f>
        <v>727702.05378000007</v>
      </c>
      <c r="N14" s="114">
        <f>G21</f>
        <v>757928.69834699994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15847.360199999999</v>
      </c>
      <c r="F15" s="78">
        <f>Inputs!D19</f>
        <v>19016.832239999996</v>
      </c>
      <c r="G15" s="78">
        <f>Inputs!E19</f>
        <v>21869.357075999997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15342.6672</v>
      </c>
      <c r="F16" s="80">
        <f>Inputs!D20</f>
        <v>18411.200639999999</v>
      </c>
      <c r="G16" s="80">
        <f>Inputs!E20</f>
        <v>21172.880735999999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31650</v>
      </c>
      <c r="F17" s="78">
        <f>Inputs!D21</f>
        <v>32599.5</v>
      </c>
      <c r="G17" s="78">
        <f>Inputs!E21</f>
        <v>33577.485000000001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12112.632</v>
      </c>
      <c r="F18" s="80">
        <f>Inputs!D22</f>
        <v>14535.1584</v>
      </c>
      <c r="G18" s="80">
        <f>Inputs!E22</f>
        <v>16715.43216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5000</v>
      </c>
      <c r="F19" s="78">
        <f>Inputs!D23</f>
        <v>6750</v>
      </c>
      <c r="G19" s="78">
        <f>Inputs!E23</f>
        <v>9112.5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40353.75</v>
      </c>
      <c r="F20" s="80">
        <f>F13*'Tax Assumptions '!G9</f>
        <v>41564.362499999996</v>
      </c>
      <c r="G20" s="80">
        <f>G13*'Tax Assumptions '!H9</f>
        <v>42811.293375000001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697806.4094</v>
      </c>
      <c r="F21" s="81">
        <f t="shared" ref="F21:G21" si="3">SUM(F13:F20)</f>
        <v>727702.05378000007</v>
      </c>
      <c r="G21" s="81">
        <f t="shared" si="3"/>
        <v>757928.69834699994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261110.29059999995</v>
      </c>
      <c r="F23" s="83">
        <f t="shared" ref="F23:G23" si="4">F10-F21</f>
        <v>422997.98621999996</v>
      </c>
      <c r="G23" s="83">
        <f t="shared" si="4"/>
        <v>565376.34765299992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59500.934841368027</v>
      </c>
      <c r="F24" s="78">
        <f>(F23-F26-F27)*'Tax Assumptions '!G7</f>
        <v>100200.22527930001</v>
      </c>
      <c r="G24" s="78">
        <f>(G23-G26-G27)*'Tax Assumptions '!H7</f>
        <v>136043.51071957054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11900.186968273607</v>
      </c>
      <c r="F25" s="80">
        <f>(F23-F26-F27)*'Tax Assumptions '!G8</f>
        <v>20040.045055860002</v>
      </c>
      <c r="G25" s="80">
        <f>(G23-G26-G27)*'Tax Assumptions '!H8</f>
        <v>27208.70214391411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13106.551234527855</v>
      </c>
      <c r="F26" s="78">
        <f>SUM('Loan Amortization Table'!D26:D37)</f>
        <v>12197.085102799903</v>
      </c>
      <c r="G26" s="78">
        <f>SUM('Loan Amortization Table'!D38:D49)</f>
        <v>11202.304774717721</v>
      </c>
      <c r="H26" s="127"/>
      <c r="I26" s="127"/>
    </row>
    <row r="27" spans="4:21">
      <c r="D27" s="70" t="s">
        <v>54</v>
      </c>
      <c r="E27" s="80">
        <v>10000</v>
      </c>
      <c r="F27" s="80">
        <v>10000</v>
      </c>
      <c r="G27" s="80">
        <v>10000</v>
      </c>
      <c r="H27" s="127"/>
      <c r="I27" s="127"/>
    </row>
    <row r="28" spans="4:21">
      <c r="D28" s="82" t="s">
        <v>17</v>
      </c>
      <c r="E28" s="83">
        <f>E23-SUM(E24:E27)</f>
        <v>166602.61755583045</v>
      </c>
      <c r="F28" s="83">
        <f t="shared" ref="F28:G28" si="5">F23-SUM(F24:F27)</f>
        <v>280560.63078204007</v>
      </c>
      <c r="G28" s="83">
        <f t="shared" si="5"/>
        <v>380921.83001479757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1009386</v>
      </c>
      <c r="F32" s="69">
        <f t="shared" ref="F32:G32" si="6">F6</f>
        <v>1211263.2</v>
      </c>
      <c r="G32" s="81">
        <f t="shared" si="6"/>
        <v>1392952.68</v>
      </c>
      <c r="H32" s="131"/>
      <c r="I32" s="131"/>
    </row>
    <row r="33" spans="4:13">
      <c r="D33" s="70" t="s">
        <v>52</v>
      </c>
      <c r="E33" s="71">
        <f>E7</f>
        <v>50469.3</v>
      </c>
      <c r="F33" s="71">
        <f t="shared" ref="F33:G33" si="7">F7</f>
        <v>60563.159999999996</v>
      </c>
      <c r="G33" s="80">
        <f t="shared" si="7"/>
        <v>69647.633999999991</v>
      </c>
      <c r="H33" s="127"/>
      <c r="I33" s="127"/>
    </row>
    <row r="34" spans="4:13">
      <c r="D34" s="68" t="s">
        <v>10</v>
      </c>
      <c r="E34" s="69">
        <f>E10</f>
        <v>958916.7</v>
      </c>
      <c r="F34" s="69">
        <f t="shared" ref="F34:G34" si="8">F10</f>
        <v>1150700.04</v>
      </c>
      <c r="G34" s="81">
        <f t="shared" si="8"/>
        <v>1323305.0459999999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697806.4094</v>
      </c>
      <c r="F35" s="84">
        <f t="shared" ref="F35:G35" si="9">F21</f>
        <v>727702.05378000007</v>
      </c>
      <c r="G35" s="84">
        <f t="shared" si="9"/>
        <v>757928.69834699994</v>
      </c>
      <c r="H35" s="131"/>
      <c r="I35" s="131"/>
    </row>
    <row r="36" spans="4:13">
      <c r="D36" s="82" t="s">
        <v>47</v>
      </c>
      <c r="E36" s="83">
        <f>E23</f>
        <v>261110.29059999995</v>
      </c>
      <c r="F36" s="83">
        <f t="shared" ref="F36:G36" si="10">F23</f>
        <v>422997.98621999996</v>
      </c>
      <c r="G36" s="83">
        <f t="shared" si="10"/>
        <v>565376.34765299992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U16" sqref="U16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176602.61755583045</v>
      </c>
      <c r="F6" s="81">
        <f>'Profit and Loss Statement'!F28+'Profit and Loss Statement'!F27</f>
        <v>290560.63078204007</v>
      </c>
      <c r="G6" s="81">
        <f>'Profit and Loss Statement'!G28+'Profit and Loss Statement'!G27</f>
        <v>390921.83001479757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25000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150000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7"/>
      <c r="I11" s="127"/>
    </row>
    <row r="12" spans="4:9">
      <c r="D12" s="75" t="s">
        <v>23</v>
      </c>
      <c r="E12" s="89">
        <f>SUM(E9:E11)</f>
        <v>185000</v>
      </c>
      <c r="F12" s="89">
        <f t="shared" ref="F12:G12" si="0">SUM(F9:F11)</f>
        <v>10200</v>
      </c>
      <c r="G12" s="89">
        <f t="shared" si="0"/>
        <v>10404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361602.61755583045</v>
      </c>
      <c r="F15" s="90">
        <f t="shared" ref="F15:G15" si="1">F12+F6</f>
        <v>300760.63078204007</v>
      </c>
      <c r="G15" s="90">
        <f t="shared" si="1"/>
        <v>401325.83001479757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9695.0880405170501</v>
      </c>
      <c r="F18" s="80">
        <f>SUM('Loan Amortization Table'!C26:C37)</f>
        <v>10604.554172245003</v>
      </c>
      <c r="G18" s="80">
        <f>SUM('Loan Amortization Table'!C38:C49)</f>
        <v>11599.334500327186</v>
      </c>
      <c r="H18" s="127"/>
      <c r="I18" s="127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7"/>
      <c r="I19" s="127"/>
    </row>
    <row r="20" spans="4:9">
      <c r="D20" s="70" t="s">
        <v>33</v>
      </c>
      <c r="E20" s="80">
        <f>'Use of Funds'!$E$6</f>
        <v>50000</v>
      </c>
      <c r="F20" s="80">
        <f>F6*0.05</f>
        <v>14528.031539102005</v>
      </c>
      <c r="G20" s="80">
        <f>G6*0.05</f>
        <v>19546.09150073988</v>
      </c>
      <c r="H20" s="127"/>
      <c r="I20" s="127"/>
    </row>
    <row r="21" spans="4:9">
      <c r="D21" s="72" t="s">
        <v>32</v>
      </c>
      <c r="E21" s="78">
        <f>E6*0.7</f>
        <v>123621.83228908131</v>
      </c>
      <c r="F21" s="78">
        <f t="shared" ref="F21:G21" si="3">F6*0.7</f>
        <v>203392.44154742802</v>
      </c>
      <c r="G21" s="78">
        <f t="shared" si="3"/>
        <v>273645.2810103583</v>
      </c>
      <c r="H21" s="127"/>
      <c r="I21" s="127"/>
    </row>
    <row r="22" spans="4:9">
      <c r="D22" s="75" t="s">
        <v>26</v>
      </c>
      <c r="E22" s="84">
        <f>SUM(E18:E21)</f>
        <v>190316.92032959836</v>
      </c>
      <c r="F22" s="84">
        <f t="shared" ref="F22:G22" si="4">SUM(F18:F21)</f>
        <v>235665.02725877502</v>
      </c>
      <c r="G22" s="84">
        <f t="shared" si="4"/>
        <v>312073.50701142539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171285.69722623209</v>
      </c>
      <c r="F24" s="91">
        <f t="shared" ref="F24:G24" si="5">F15-F22</f>
        <v>65095.603523265047</v>
      </c>
      <c r="G24" s="91">
        <f t="shared" si="5"/>
        <v>89252.323003372177</v>
      </c>
      <c r="H24" s="132"/>
      <c r="I24" s="132"/>
    </row>
    <row r="25" spans="4:9">
      <c r="D25" s="82" t="s">
        <v>6</v>
      </c>
      <c r="E25" s="91">
        <f>E24</f>
        <v>171285.69722623209</v>
      </c>
      <c r="F25" s="91">
        <f>E25+F24</f>
        <v>236381.30074949714</v>
      </c>
      <c r="G25" s="91">
        <f>F25+G24</f>
        <v>325633.62375286932</v>
      </c>
      <c r="H25" s="132"/>
      <c r="I25" s="132"/>
    </row>
    <row r="28" spans="4:9">
      <c r="D28" s="112" t="s">
        <v>79</v>
      </c>
      <c r="E28" s="114">
        <f>E6</f>
        <v>176602.61755583045</v>
      </c>
      <c r="F28" s="114">
        <f t="shared" ref="F28:G28" si="6">F6</f>
        <v>290560.63078204007</v>
      </c>
      <c r="G28" s="114">
        <f t="shared" si="6"/>
        <v>390921.83001479757</v>
      </c>
      <c r="H28" s="1"/>
      <c r="I28" s="1"/>
    </row>
    <row r="29" spans="4:9">
      <c r="D29" s="112" t="s">
        <v>80</v>
      </c>
      <c r="E29" s="114">
        <f>E18</f>
        <v>9695.0880405170501</v>
      </c>
      <c r="F29" s="114">
        <f t="shared" ref="F29:G29" si="7">F18</f>
        <v>10604.554172245003</v>
      </c>
      <c r="G29" s="114">
        <f t="shared" si="7"/>
        <v>11599.334500327186</v>
      </c>
      <c r="H29" s="1"/>
      <c r="I29" s="1"/>
    </row>
    <row r="30" spans="4:9">
      <c r="D30" s="112" t="s">
        <v>81</v>
      </c>
      <c r="E30" s="114">
        <f>E21</f>
        <v>123621.83228908131</v>
      </c>
      <c r="F30" s="114">
        <f t="shared" ref="F30:G30" si="8">F21</f>
        <v>203392.44154742802</v>
      </c>
      <c r="G30" s="114">
        <f t="shared" si="8"/>
        <v>273645.2810103583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T16" sqref="T16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171285.69722623209</v>
      </c>
      <c r="F7" s="78">
        <f>'Cash Flow Analysis'!F25</f>
        <v>236381.30074949714</v>
      </c>
      <c r="G7" s="78">
        <f>'Cash Flow Analysis'!G25</f>
        <v>325633.62375286932</v>
      </c>
      <c r="H7" s="127"/>
      <c r="I7" s="127"/>
    </row>
    <row r="8" spans="4:9">
      <c r="D8" s="66" t="s">
        <v>123</v>
      </c>
      <c r="E8" s="94">
        <f>'Cash Flow Analysis'!E20</f>
        <v>50000</v>
      </c>
      <c r="F8" s="94">
        <f>E8+'Cash Flow Analysis'!F20</f>
        <v>64528.031539102005</v>
      </c>
      <c r="G8" s="94">
        <f>F8+'Cash Flow Analysis'!G20</f>
        <v>84074.123039841885</v>
      </c>
      <c r="H8" s="127"/>
      <c r="I8" s="127"/>
    </row>
    <row r="9" spans="4:9">
      <c r="D9" s="72" t="s">
        <v>48</v>
      </c>
      <c r="E9" s="87">
        <f>-'Profit and Loss Statement'!E27</f>
        <v>-10000</v>
      </c>
      <c r="F9" s="87">
        <f>E9-'Profit and Loss Statement'!F27</f>
        <v>-20000</v>
      </c>
      <c r="G9" s="87">
        <f>F9-'Profit and Loss Statement'!G27</f>
        <v>-30000</v>
      </c>
      <c r="H9" s="130"/>
      <c r="I9" s="130"/>
    </row>
    <row r="10" spans="4:9">
      <c r="D10" s="95" t="s">
        <v>7</v>
      </c>
      <c r="E10" s="96">
        <f>SUM(E7:E9)</f>
        <v>211285.69722623209</v>
      </c>
      <c r="F10" s="96">
        <f t="shared" ref="F10:G10" si="0">SUM(F7:F9)</f>
        <v>280909.33228859917</v>
      </c>
      <c r="G10" s="96">
        <f t="shared" si="0"/>
        <v>379707.7467927112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7"/>
      <c r="I13" s="127"/>
    </row>
    <row r="14" spans="4:9">
      <c r="D14" s="66" t="s">
        <v>73</v>
      </c>
      <c r="E14" s="94">
        <f>'Loan Amortization Table'!E25</f>
        <v>140304.911959483</v>
      </c>
      <c r="F14" s="94">
        <f>'Loan Amortization Table'!E37</f>
        <v>129700.35778723798</v>
      </c>
      <c r="G14" s="94">
        <f>'Loan Amortization Table'!E49</f>
        <v>118101.0232869108</v>
      </c>
      <c r="H14" s="127"/>
      <c r="I14" s="127"/>
    </row>
    <row r="15" spans="4:9">
      <c r="D15" s="68" t="s">
        <v>30</v>
      </c>
      <c r="E15" s="81">
        <f>SUM(E13:E14)</f>
        <v>143304.911959483</v>
      </c>
      <c r="F15" s="81">
        <f t="shared" ref="F15:G15" si="1">SUM(F13:F14)</f>
        <v>135760.35778723797</v>
      </c>
      <c r="G15" s="81">
        <f t="shared" si="1"/>
        <v>127282.2232869108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67980.785266749095</v>
      </c>
      <c r="F17" s="83">
        <f t="shared" ref="F17:G17" si="2">F10-F15</f>
        <v>145148.9745013612</v>
      </c>
      <c r="G17" s="83">
        <f t="shared" si="2"/>
        <v>252425.5235058004</v>
      </c>
      <c r="H17" s="131"/>
      <c r="I17" s="131"/>
    </row>
    <row r="18" spans="4:9">
      <c r="D18" s="82" t="s">
        <v>31</v>
      </c>
      <c r="E18" s="83">
        <f>E15+E17</f>
        <v>211285.69722623209</v>
      </c>
      <c r="F18" s="83">
        <f t="shared" ref="F18:G18" si="3">F15+F17</f>
        <v>280909.33228859917</v>
      </c>
      <c r="G18" s="83">
        <f t="shared" si="3"/>
        <v>379707.7467927112</v>
      </c>
      <c r="H18" s="131"/>
      <c r="I18" s="131"/>
    </row>
    <row r="21" spans="4:9">
      <c r="D21" s="112" t="s">
        <v>82</v>
      </c>
      <c r="E21" s="114">
        <f>E10-1</f>
        <v>211284.69722623209</v>
      </c>
      <c r="F21" s="114">
        <f t="shared" ref="F21:G21" si="4">F10-1</f>
        <v>280908.33228859917</v>
      </c>
      <c r="G21" s="114">
        <f t="shared" si="4"/>
        <v>379706.7467927112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143304.911959483</v>
      </c>
      <c r="F22" s="114">
        <f t="shared" ref="F22:G22" si="6">F15</f>
        <v>135760.35778723797</v>
      </c>
      <c r="G22" s="114">
        <f t="shared" si="6"/>
        <v>127282.2232869108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67980.785266749095</v>
      </c>
      <c r="F23" s="114">
        <f t="shared" ref="F23:G23" si="8">F17</f>
        <v>145148.9745013612</v>
      </c>
      <c r="G23" s="114">
        <f t="shared" si="8"/>
        <v>252425.5235058004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P15" sqref="P15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84000</v>
      </c>
      <c r="D6" s="6">
        <f>Inputs!D42</f>
        <v>84021</v>
      </c>
      <c r="E6" s="6">
        <f>Inputs!E42</f>
        <v>84042</v>
      </c>
      <c r="F6" s="6">
        <f>Inputs!F42</f>
        <v>84063</v>
      </c>
      <c r="G6" s="6">
        <f>Inputs!G42</f>
        <v>84084</v>
      </c>
      <c r="H6" s="6">
        <f>Inputs!H42</f>
        <v>84105</v>
      </c>
      <c r="I6" s="6">
        <f>Inputs!I42</f>
        <v>84126</v>
      </c>
    </row>
    <row r="7" spans="2:9">
      <c r="B7" s="31" t="s">
        <v>52</v>
      </c>
      <c r="C7" s="6">
        <f>Inputs!C61</f>
        <v>4200</v>
      </c>
      <c r="D7" s="6">
        <f>Inputs!D61</f>
        <v>4201.05</v>
      </c>
      <c r="E7" s="6">
        <f>Inputs!E61</f>
        <v>4202.1000000000004</v>
      </c>
      <c r="F7" s="6">
        <f>Inputs!F61</f>
        <v>4203.1499999999996</v>
      </c>
      <c r="G7" s="6">
        <f>Inputs!G61</f>
        <v>4204.2</v>
      </c>
      <c r="H7" s="6">
        <f>Inputs!H61</f>
        <v>4205.25</v>
      </c>
      <c r="I7" s="6">
        <f>Inputs!I61</f>
        <v>4206.3</v>
      </c>
    </row>
    <row r="8" spans="2:9">
      <c r="B8" s="29" t="s">
        <v>12</v>
      </c>
      <c r="C8" s="17">
        <f>1-(C7/C6)</f>
        <v>0.95</v>
      </c>
      <c r="D8" s="17">
        <f t="shared" ref="D8:I8" si="1">1-(D7/D6)</f>
        <v>0.95</v>
      </c>
      <c r="E8" s="17">
        <f t="shared" si="1"/>
        <v>0.95</v>
      </c>
      <c r="F8" s="17">
        <f t="shared" si="1"/>
        <v>0.95</v>
      </c>
      <c r="G8" s="17">
        <f t="shared" si="1"/>
        <v>0.95</v>
      </c>
      <c r="H8" s="17">
        <f t="shared" si="1"/>
        <v>0.95</v>
      </c>
      <c r="I8" s="17">
        <f t="shared" si="1"/>
        <v>0.95</v>
      </c>
    </row>
    <row r="9" spans="2:9">
      <c r="B9" s="30"/>
    </row>
    <row r="10" spans="2:9">
      <c r="B10" s="37" t="s">
        <v>10</v>
      </c>
      <c r="C10" s="6">
        <f>C6-C7</f>
        <v>79800</v>
      </c>
      <c r="D10" s="6">
        <f t="shared" ref="D10:I10" si="2">D6-D7</f>
        <v>79819.95</v>
      </c>
      <c r="E10" s="6">
        <f t="shared" si="2"/>
        <v>79839.899999999994</v>
      </c>
      <c r="F10" s="6">
        <f t="shared" si="2"/>
        <v>79859.850000000006</v>
      </c>
      <c r="G10" s="6">
        <f t="shared" si="2"/>
        <v>79879.8</v>
      </c>
      <c r="H10" s="6">
        <f t="shared" si="2"/>
        <v>79899.75</v>
      </c>
      <c r="I10" s="6">
        <f t="shared" si="2"/>
        <v>79919.7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43958.333333333336</v>
      </c>
      <c r="D13" s="6">
        <f t="shared" ref="D13:I13" si="3">$H$41/12</f>
        <v>43958.333333333336</v>
      </c>
      <c r="E13" s="6">
        <f t="shared" si="3"/>
        <v>43958.333333333336</v>
      </c>
      <c r="F13" s="6">
        <f t="shared" si="3"/>
        <v>43958.333333333336</v>
      </c>
      <c r="G13" s="6">
        <f t="shared" si="3"/>
        <v>43958.333333333336</v>
      </c>
      <c r="H13" s="6">
        <f t="shared" si="3"/>
        <v>43958.333333333336</v>
      </c>
      <c r="I13" s="6">
        <f t="shared" si="3"/>
        <v>43958.333333333336</v>
      </c>
    </row>
    <row r="14" spans="2:9">
      <c r="B14" s="33" t="str">
        <f>'Profit and Loss Statement'!D14</f>
        <v>Facility Costs</v>
      </c>
      <c r="C14" s="6">
        <f>$H$42/12</f>
        <v>4166.666666666667</v>
      </c>
      <c r="D14" s="6">
        <f t="shared" ref="D14:I14" si="4">$H$42/12</f>
        <v>4166.666666666667</v>
      </c>
      <c r="E14" s="6">
        <f t="shared" si="4"/>
        <v>4166.666666666667</v>
      </c>
      <c r="F14" s="6">
        <f t="shared" si="4"/>
        <v>4166.666666666667</v>
      </c>
      <c r="G14" s="6">
        <f t="shared" si="4"/>
        <v>4166.666666666667</v>
      </c>
      <c r="H14" s="6">
        <f t="shared" si="4"/>
        <v>4166.666666666667</v>
      </c>
      <c r="I14" s="6">
        <f t="shared" si="4"/>
        <v>4166.666666666667</v>
      </c>
    </row>
    <row r="15" spans="2:9">
      <c r="B15" s="33" t="str">
        <f>'Profit and Loss Statement'!D15</f>
        <v>General and Administrative</v>
      </c>
      <c r="C15" s="6">
        <f>$H$43/12</f>
        <v>1320.6133499999999</v>
      </c>
      <c r="D15" s="6">
        <f t="shared" ref="D15:I15" si="5">$H$43/12</f>
        <v>1320.6133499999999</v>
      </c>
      <c r="E15" s="6">
        <f t="shared" si="5"/>
        <v>1320.6133499999999</v>
      </c>
      <c r="F15" s="6">
        <f t="shared" si="5"/>
        <v>1320.6133499999999</v>
      </c>
      <c r="G15" s="6">
        <f t="shared" si="5"/>
        <v>1320.6133499999999</v>
      </c>
      <c r="H15" s="6">
        <f t="shared" si="5"/>
        <v>1320.6133499999999</v>
      </c>
      <c r="I15" s="6">
        <f t="shared" si="5"/>
        <v>1320.6133499999999</v>
      </c>
    </row>
    <row r="16" spans="2:9">
      <c r="B16" s="33" t="str">
        <f>'Profit and Loss Statement'!D16</f>
        <v>Equipment Costs</v>
      </c>
      <c r="C16" s="6">
        <f>$H$44/12</f>
        <v>1278.5555999999999</v>
      </c>
      <c r="D16" s="6">
        <f t="shared" ref="D16:I16" si="6">$H$44/12</f>
        <v>1278.5555999999999</v>
      </c>
      <c r="E16" s="6">
        <f t="shared" si="6"/>
        <v>1278.5555999999999</v>
      </c>
      <c r="F16" s="6">
        <f t="shared" si="6"/>
        <v>1278.5555999999999</v>
      </c>
      <c r="G16" s="6">
        <f t="shared" si="6"/>
        <v>1278.5555999999999</v>
      </c>
      <c r="H16" s="6">
        <f t="shared" si="6"/>
        <v>1278.5555999999999</v>
      </c>
      <c r="I16" s="6">
        <f t="shared" si="6"/>
        <v>1278.5555999999999</v>
      </c>
    </row>
    <row r="17" spans="2:9">
      <c r="B17" s="33" t="str">
        <f>'Profit and Loss Statement'!D17</f>
        <v>Insurance Costs</v>
      </c>
      <c r="C17" s="6">
        <f>$H$45/12</f>
        <v>2637.5</v>
      </c>
      <c r="D17" s="6">
        <f t="shared" ref="D17:I17" si="7">$H$45/12</f>
        <v>2637.5</v>
      </c>
      <c r="E17" s="6">
        <f t="shared" si="7"/>
        <v>2637.5</v>
      </c>
      <c r="F17" s="6">
        <f t="shared" si="7"/>
        <v>2637.5</v>
      </c>
      <c r="G17" s="6">
        <f t="shared" si="7"/>
        <v>2637.5</v>
      </c>
      <c r="H17" s="6">
        <f t="shared" si="7"/>
        <v>2637.5</v>
      </c>
      <c r="I17" s="6">
        <f t="shared" si="7"/>
        <v>2637.5</v>
      </c>
    </row>
    <row r="18" spans="2:9">
      <c r="B18" s="33" t="str">
        <f>'Profit and Loss Statement'!D18</f>
        <v>Marketing</v>
      </c>
      <c r="C18" s="6">
        <f>$H$46/12</f>
        <v>1009.386</v>
      </c>
      <c r="D18" s="6">
        <f t="shared" ref="D18:I18" si="8">$H$46/12</f>
        <v>1009.386</v>
      </c>
      <c r="E18" s="6">
        <f t="shared" si="8"/>
        <v>1009.386</v>
      </c>
      <c r="F18" s="6">
        <f t="shared" si="8"/>
        <v>1009.386</v>
      </c>
      <c r="G18" s="6">
        <f t="shared" si="8"/>
        <v>1009.386</v>
      </c>
      <c r="H18" s="6">
        <f t="shared" si="8"/>
        <v>1009.386</v>
      </c>
      <c r="I18" s="6">
        <f t="shared" si="8"/>
        <v>1009.386</v>
      </c>
    </row>
    <row r="19" spans="2:9">
      <c r="B19" s="33" t="str">
        <f>'Profit and Loss Statement'!D19</f>
        <v>Professional Fees and Licensure</v>
      </c>
      <c r="C19" s="6">
        <f>$H$47/12</f>
        <v>416.66666666666669</v>
      </c>
      <c r="D19" s="6">
        <f t="shared" ref="D19:I19" si="9">$H$47/12</f>
        <v>416.66666666666669</v>
      </c>
      <c r="E19" s="6">
        <f t="shared" si="9"/>
        <v>416.66666666666669</v>
      </c>
      <c r="F19" s="6">
        <f t="shared" si="9"/>
        <v>416.66666666666669</v>
      </c>
      <c r="G19" s="6">
        <f t="shared" si="9"/>
        <v>416.66666666666669</v>
      </c>
      <c r="H19" s="6">
        <f t="shared" si="9"/>
        <v>416.66666666666669</v>
      </c>
      <c r="I19" s="6">
        <f t="shared" si="9"/>
        <v>416.66666666666669</v>
      </c>
    </row>
    <row r="20" spans="2:9">
      <c r="B20" s="29" t="s">
        <v>14</v>
      </c>
      <c r="C20" s="6">
        <f>$H$48/12</f>
        <v>3362.8125</v>
      </c>
      <c r="D20" s="6">
        <f t="shared" ref="D20:I20" si="10">$H$48/12</f>
        <v>3362.8125</v>
      </c>
      <c r="E20" s="6">
        <f t="shared" si="10"/>
        <v>3362.8125</v>
      </c>
      <c r="F20" s="6">
        <f t="shared" si="10"/>
        <v>3362.8125</v>
      </c>
      <c r="G20" s="6">
        <f t="shared" si="10"/>
        <v>3362.8125</v>
      </c>
      <c r="H20" s="6">
        <f t="shared" si="10"/>
        <v>3362.8125</v>
      </c>
      <c r="I20" s="6">
        <f t="shared" si="10"/>
        <v>3362.8125</v>
      </c>
    </row>
    <row r="21" spans="2:9">
      <c r="B21" s="28" t="s">
        <v>8</v>
      </c>
      <c r="C21" s="6">
        <f>SUM(C13:C20)</f>
        <v>58150.534116666662</v>
      </c>
      <c r="D21" s="6">
        <f t="shared" ref="D21:I21" si="11">SUM(D13:D20)</f>
        <v>58150.534116666662</v>
      </c>
      <c r="E21" s="6">
        <f t="shared" si="11"/>
        <v>58150.534116666662</v>
      </c>
      <c r="F21" s="6">
        <f t="shared" si="11"/>
        <v>58150.534116666662</v>
      </c>
      <c r="G21" s="6">
        <f t="shared" si="11"/>
        <v>58150.534116666662</v>
      </c>
      <c r="H21" s="6">
        <f t="shared" si="11"/>
        <v>58150.534116666662</v>
      </c>
      <c r="I21" s="6">
        <f t="shared" si="11"/>
        <v>58150.534116666662</v>
      </c>
    </row>
    <row r="22" spans="2:9">
      <c r="B22" s="30"/>
    </row>
    <row r="23" spans="2:9">
      <c r="B23" s="24" t="s">
        <v>47</v>
      </c>
      <c r="C23" s="25">
        <f>C10-C21</f>
        <v>21649.465883333338</v>
      </c>
      <c r="D23" s="25">
        <f t="shared" ref="D23:I23" si="12">D10-D21</f>
        <v>21669.415883333335</v>
      </c>
      <c r="E23" s="25">
        <f t="shared" si="12"/>
        <v>21689.365883333332</v>
      </c>
      <c r="F23" s="25">
        <f t="shared" si="12"/>
        <v>21709.315883333344</v>
      </c>
      <c r="G23" s="25">
        <f t="shared" si="12"/>
        <v>21729.265883333341</v>
      </c>
      <c r="H23" s="25">
        <f t="shared" si="12"/>
        <v>21749.215883333338</v>
      </c>
      <c r="I23" s="25">
        <f t="shared" si="12"/>
        <v>21769.165883333335</v>
      </c>
    </row>
    <row r="24" spans="2:9">
      <c r="B24" s="29" t="s">
        <v>15</v>
      </c>
      <c r="C24" s="6">
        <f>(C6/$H$34)*$H$52</f>
        <v>4951.6027829541063</v>
      </c>
      <c r="D24" s="6">
        <f t="shared" ref="D24:I24" si="13">(D6/$H$34)*$H$52</f>
        <v>4952.8406836498452</v>
      </c>
      <c r="E24" s="6">
        <f t="shared" si="13"/>
        <v>4954.0785843455842</v>
      </c>
      <c r="F24" s="6">
        <f t="shared" si="13"/>
        <v>4955.3164850413232</v>
      </c>
      <c r="G24" s="6">
        <f t="shared" si="13"/>
        <v>4956.5543857370612</v>
      </c>
      <c r="H24" s="6">
        <f t="shared" si="13"/>
        <v>4957.7922864327993</v>
      </c>
      <c r="I24" s="6">
        <f t="shared" si="13"/>
        <v>4959.0301871285383</v>
      </c>
    </row>
    <row r="25" spans="2:9">
      <c r="B25" s="29" t="s">
        <v>102</v>
      </c>
      <c r="C25" s="6">
        <f>(C6/$H$34)*$H$53</f>
        <v>990.32055659082141</v>
      </c>
      <c r="D25" s="6">
        <f t="shared" ref="D25:I25" si="14">(D6/$H$34)*$H$53</f>
        <v>990.56813672996918</v>
      </c>
      <c r="E25" s="6">
        <f t="shared" si="14"/>
        <v>990.81571686911695</v>
      </c>
      <c r="F25" s="6">
        <f t="shared" si="14"/>
        <v>991.06329700826473</v>
      </c>
      <c r="G25" s="6">
        <f t="shared" si="14"/>
        <v>991.31087714741238</v>
      </c>
      <c r="H25" s="6">
        <f t="shared" si="14"/>
        <v>991.55845728655993</v>
      </c>
      <c r="I25" s="6">
        <f t="shared" si="14"/>
        <v>991.8060374257077</v>
      </c>
    </row>
    <row r="26" spans="2:9">
      <c r="B26" s="29" t="s">
        <v>16</v>
      </c>
      <c r="C26" s="6">
        <f>'Loan Amortization Table'!D14</f>
        <v>1125</v>
      </c>
      <c r="D26" s="6">
        <f>'Loan Amortization Table'!D15</f>
        <v>1119.1864754530968</v>
      </c>
      <c r="E26" s="6">
        <f>'Loan Amortization Table'!D16</f>
        <v>1113.329349472092</v>
      </c>
      <c r="F26" s="6">
        <f>'Loan Amortization Table'!D17</f>
        <v>1107.4282950462296</v>
      </c>
      <c r="G26" s="6">
        <f>'Loan Amortization Table'!D18</f>
        <v>1101.4829827121735</v>
      </c>
      <c r="H26" s="6">
        <f>'Loan Amortization Table'!D19</f>
        <v>1095.4930805356116</v>
      </c>
      <c r="I26" s="6">
        <f>'Loan Amortization Table'!D20</f>
        <v>1089.4582540927258</v>
      </c>
    </row>
    <row r="27" spans="2:9">
      <c r="B27" s="29" t="s">
        <v>54</v>
      </c>
      <c r="C27" s="6">
        <f>$H$55/12</f>
        <v>833.33333333333337</v>
      </c>
      <c r="D27" s="6">
        <f t="shared" ref="D27:I27" si="15">$H$55/12</f>
        <v>833.33333333333337</v>
      </c>
      <c r="E27" s="6">
        <f t="shared" si="15"/>
        <v>833.33333333333337</v>
      </c>
      <c r="F27" s="6">
        <f t="shared" si="15"/>
        <v>833.33333333333337</v>
      </c>
      <c r="G27" s="6">
        <f t="shared" si="15"/>
        <v>833.33333333333337</v>
      </c>
      <c r="H27" s="6">
        <f t="shared" si="15"/>
        <v>833.33333333333337</v>
      </c>
      <c r="I27" s="6">
        <f t="shared" si="15"/>
        <v>833.33333333333337</v>
      </c>
    </row>
    <row r="28" spans="2:9">
      <c r="B28" s="38" t="s">
        <v>17</v>
      </c>
      <c r="C28" s="39">
        <f>C23-SUM(C24:C27)</f>
        <v>13749.209210455077</v>
      </c>
      <c r="D28" s="39">
        <f t="shared" ref="D28:I28" si="16">D23-SUM(D24:D27)</f>
        <v>13773.48725416709</v>
      </c>
      <c r="E28" s="39">
        <f t="shared" si="16"/>
        <v>13797.808899313206</v>
      </c>
      <c r="F28" s="39">
        <f t="shared" si="16"/>
        <v>13822.174472904193</v>
      </c>
      <c r="G28" s="39">
        <f t="shared" si="16"/>
        <v>13846.584304403361</v>
      </c>
      <c r="H28" s="39">
        <f t="shared" si="16"/>
        <v>13871.038725745035</v>
      </c>
      <c r="I28" s="39">
        <f t="shared" si="16"/>
        <v>13895.53807135303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84147</v>
      </c>
      <c r="D34" s="6">
        <f>Inputs!K42</f>
        <v>84168</v>
      </c>
      <c r="E34" s="6">
        <f>Inputs!L42</f>
        <v>84189</v>
      </c>
      <c r="F34" s="6">
        <f>Inputs!M42</f>
        <v>84210</v>
      </c>
      <c r="G34" s="6">
        <f>Inputs!N42</f>
        <v>84231</v>
      </c>
      <c r="H34" s="6">
        <f>'Profit and Loss Statement'!E6</f>
        <v>1009386</v>
      </c>
    </row>
    <row r="35" spans="2:8">
      <c r="B35" s="31" t="s">
        <v>52</v>
      </c>
      <c r="C35" s="6">
        <f>Inputs!J61</f>
        <v>4207.3500000000004</v>
      </c>
      <c r="D35" s="6">
        <f>Inputs!K61</f>
        <v>4208.3999999999996</v>
      </c>
      <c r="E35" s="6">
        <f>Inputs!L61</f>
        <v>4209.45</v>
      </c>
      <c r="F35" s="6">
        <f>Inputs!M61</f>
        <v>4210.5</v>
      </c>
      <c r="G35" s="6">
        <f>Inputs!N61</f>
        <v>4211.55</v>
      </c>
      <c r="H35" s="6">
        <f>'Profit and Loss Statement'!E7</f>
        <v>50469.3</v>
      </c>
    </row>
    <row r="36" spans="2:8">
      <c r="B36" s="29" t="s">
        <v>12</v>
      </c>
      <c r="C36" s="17">
        <f>1-(C35/C34)</f>
        <v>0.95</v>
      </c>
      <c r="D36" s="17">
        <f t="shared" ref="D36:H36" si="18">1-(D35/D34)</f>
        <v>0.95</v>
      </c>
      <c r="E36" s="17">
        <f t="shared" si="18"/>
        <v>0.95</v>
      </c>
      <c r="F36" s="17">
        <f t="shared" si="18"/>
        <v>0.95</v>
      </c>
      <c r="G36" s="17">
        <f t="shared" si="18"/>
        <v>0.95</v>
      </c>
      <c r="H36" s="17">
        <f t="shared" si="18"/>
        <v>0.95</v>
      </c>
    </row>
    <row r="37" spans="2:8">
      <c r="B37" s="30"/>
    </row>
    <row r="38" spans="2:8">
      <c r="B38" s="37" t="s">
        <v>10</v>
      </c>
      <c r="C38" s="6">
        <f>C34-C35</f>
        <v>79939.649999999994</v>
      </c>
      <c r="D38" s="6">
        <f t="shared" ref="D38:H38" si="19">D34-D35</f>
        <v>79959.600000000006</v>
      </c>
      <c r="E38" s="6">
        <f t="shared" si="19"/>
        <v>79979.55</v>
      </c>
      <c r="F38" s="6">
        <f t="shared" si="19"/>
        <v>79999.5</v>
      </c>
      <c r="G38" s="6">
        <f t="shared" si="19"/>
        <v>80019.45</v>
      </c>
      <c r="H38" s="6">
        <f t="shared" si="19"/>
        <v>958916.7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43958.333333333336</v>
      </c>
      <c r="D41" s="6">
        <f t="shared" ref="D41:G41" si="20">$H$41/12</f>
        <v>43958.333333333336</v>
      </c>
      <c r="E41" s="6">
        <f t="shared" si="20"/>
        <v>43958.333333333336</v>
      </c>
      <c r="F41" s="6">
        <f t="shared" si="20"/>
        <v>43958.333333333336</v>
      </c>
      <c r="G41" s="6">
        <f t="shared" si="20"/>
        <v>43958.333333333336</v>
      </c>
      <c r="H41" s="6">
        <f>'Profit and Loss Statement'!E13</f>
        <v>527500</v>
      </c>
    </row>
    <row r="42" spans="2:8">
      <c r="B42" s="33" t="str">
        <f>B14</f>
        <v>Facility Costs</v>
      </c>
      <c r="C42" s="6">
        <f>$H$42/12</f>
        <v>4166.666666666667</v>
      </c>
      <c r="D42" s="6">
        <f t="shared" ref="D42:G42" si="21">$H$42/12</f>
        <v>4166.666666666667</v>
      </c>
      <c r="E42" s="6">
        <f t="shared" si="21"/>
        <v>4166.666666666667</v>
      </c>
      <c r="F42" s="6">
        <f t="shared" si="21"/>
        <v>4166.666666666667</v>
      </c>
      <c r="G42" s="6">
        <f t="shared" si="21"/>
        <v>4166.666666666667</v>
      </c>
      <c r="H42" s="6">
        <f>'Profit and Loss Statement'!E14</f>
        <v>50000</v>
      </c>
    </row>
    <row r="43" spans="2:8">
      <c r="B43" s="33" t="str">
        <f t="shared" ref="B43:B47" si="22">B15</f>
        <v>General and Administrative</v>
      </c>
      <c r="C43" s="6">
        <f>$H$43/12</f>
        <v>1320.6133499999999</v>
      </c>
      <c r="D43" s="6">
        <f t="shared" ref="D43:G43" si="23">$H$43/12</f>
        <v>1320.6133499999999</v>
      </c>
      <c r="E43" s="6">
        <f t="shared" si="23"/>
        <v>1320.6133499999999</v>
      </c>
      <c r="F43" s="6">
        <f t="shared" si="23"/>
        <v>1320.6133499999999</v>
      </c>
      <c r="G43" s="6">
        <f t="shared" si="23"/>
        <v>1320.6133499999999</v>
      </c>
      <c r="H43" s="6">
        <f>'Profit and Loss Statement'!E15</f>
        <v>15847.360199999999</v>
      </c>
    </row>
    <row r="44" spans="2:8">
      <c r="B44" s="33" t="str">
        <f t="shared" si="22"/>
        <v>Equipment Costs</v>
      </c>
      <c r="C44" s="6">
        <f>$H$44/12</f>
        <v>1278.5555999999999</v>
      </c>
      <c r="D44" s="6">
        <f t="shared" ref="D44:G44" si="24">$H$44/12</f>
        <v>1278.5555999999999</v>
      </c>
      <c r="E44" s="6">
        <f t="shared" si="24"/>
        <v>1278.5555999999999</v>
      </c>
      <c r="F44" s="6">
        <f t="shared" si="24"/>
        <v>1278.5555999999999</v>
      </c>
      <c r="G44" s="6">
        <f t="shared" si="24"/>
        <v>1278.5555999999999</v>
      </c>
      <c r="H44" s="6">
        <f>'Profit and Loss Statement'!E16</f>
        <v>15342.6672</v>
      </c>
    </row>
    <row r="45" spans="2:8">
      <c r="B45" s="33" t="str">
        <f t="shared" si="22"/>
        <v>Insurance Costs</v>
      </c>
      <c r="C45" s="6">
        <f>$H$45/12</f>
        <v>2637.5</v>
      </c>
      <c r="D45" s="6">
        <f t="shared" ref="D45:G45" si="25">$H$45/12</f>
        <v>2637.5</v>
      </c>
      <c r="E45" s="6">
        <f t="shared" si="25"/>
        <v>2637.5</v>
      </c>
      <c r="F45" s="6">
        <f t="shared" si="25"/>
        <v>2637.5</v>
      </c>
      <c r="G45" s="6">
        <f t="shared" si="25"/>
        <v>2637.5</v>
      </c>
      <c r="H45" s="6">
        <f>'Profit and Loss Statement'!E17</f>
        <v>31650</v>
      </c>
    </row>
    <row r="46" spans="2:8">
      <c r="B46" s="33" t="str">
        <f t="shared" si="22"/>
        <v>Marketing</v>
      </c>
      <c r="C46" s="6">
        <f>$H$46/12</f>
        <v>1009.386</v>
      </c>
      <c r="D46" s="6">
        <f t="shared" ref="D46:G46" si="26">$H$46/12</f>
        <v>1009.386</v>
      </c>
      <c r="E46" s="6">
        <f t="shared" si="26"/>
        <v>1009.386</v>
      </c>
      <c r="F46" s="6">
        <f t="shared" si="26"/>
        <v>1009.386</v>
      </c>
      <c r="G46" s="6">
        <f t="shared" si="26"/>
        <v>1009.386</v>
      </c>
      <c r="H46" s="6">
        <f>'Profit and Loss Statement'!E18</f>
        <v>12112.632</v>
      </c>
    </row>
    <row r="47" spans="2:8">
      <c r="B47" s="33" t="str">
        <f t="shared" si="22"/>
        <v>Professional Fees and Licensure</v>
      </c>
      <c r="C47" s="6">
        <f>$H$47/12</f>
        <v>416.66666666666669</v>
      </c>
      <c r="D47" s="6">
        <f t="shared" ref="D47:G47" si="27">$H$47/12</f>
        <v>416.66666666666669</v>
      </c>
      <c r="E47" s="6">
        <f t="shared" si="27"/>
        <v>416.66666666666669</v>
      </c>
      <c r="F47" s="6">
        <f t="shared" si="27"/>
        <v>416.66666666666669</v>
      </c>
      <c r="G47" s="6">
        <f t="shared" si="27"/>
        <v>416.66666666666669</v>
      </c>
      <c r="H47" s="6">
        <f>'Profit and Loss Statement'!E19</f>
        <v>5000</v>
      </c>
    </row>
    <row r="48" spans="2:8">
      <c r="B48" s="29" t="s">
        <v>14</v>
      </c>
      <c r="C48" s="6">
        <f>$H$48/12</f>
        <v>3362.8125</v>
      </c>
      <c r="D48" s="6">
        <f t="shared" ref="D48:G48" si="28">$H$48/12</f>
        <v>3362.8125</v>
      </c>
      <c r="E48" s="6">
        <f t="shared" si="28"/>
        <v>3362.8125</v>
      </c>
      <c r="F48" s="6">
        <f t="shared" si="28"/>
        <v>3362.8125</v>
      </c>
      <c r="G48" s="6">
        <f t="shared" si="28"/>
        <v>3362.8125</v>
      </c>
      <c r="H48" s="6">
        <f>'Profit and Loss Statement'!E20</f>
        <v>40353.75</v>
      </c>
    </row>
    <row r="49" spans="2:15">
      <c r="B49" s="28" t="s">
        <v>8</v>
      </c>
      <c r="C49" s="6">
        <f>SUM(C41:C48)</f>
        <v>58150.534116666662</v>
      </c>
      <c r="D49" s="6">
        <f t="shared" ref="D49:G49" si="29">SUM(D41:D48)</f>
        <v>58150.534116666662</v>
      </c>
      <c r="E49" s="6">
        <f t="shared" si="29"/>
        <v>58150.534116666662</v>
      </c>
      <c r="F49" s="6">
        <f t="shared" si="29"/>
        <v>58150.534116666662</v>
      </c>
      <c r="G49" s="6">
        <f t="shared" si="29"/>
        <v>58150.534116666662</v>
      </c>
      <c r="H49" s="6">
        <f>'Profit and Loss Statement'!E21</f>
        <v>697806.4094</v>
      </c>
    </row>
    <row r="50" spans="2:15">
      <c r="B50" s="30"/>
    </row>
    <row r="51" spans="2:15">
      <c r="B51" s="24" t="s">
        <v>47</v>
      </c>
      <c r="C51" s="25">
        <f>C38-C49</f>
        <v>21789.115883333332</v>
      </c>
      <c r="D51" s="25">
        <f t="shared" ref="D51:H51" si="30">D38-D49</f>
        <v>21809.065883333344</v>
      </c>
      <c r="E51" s="25">
        <f t="shared" si="30"/>
        <v>21829.015883333341</v>
      </c>
      <c r="F51" s="25">
        <f t="shared" si="30"/>
        <v>21848.965883333338</v>
      </c>
      <c r="G51" s="25">
        <f t="shared" si="30"/>
        <v>21868.915883333335</v>
      </c>
      <c r="H51" s="25">
        <f t="shared" si="30"/>
        <v>261110.29059999995</v>
      </c>
    </row>
    <row r="52" spans="2:15">
      <c r="B52" s="29" t="s">
        <v>15</v>
      </c>
      <c r="C52" s="6">
        <f>(C34/$H$34)*$H$52</f>
        <v>4960.2680878242763</v>
      </c>
      <c r="D52" s="6">
        <f t="shared" ref="D52:G52" si="31">(D34/$H$34)*$H$52</f>
        <v>4961.5059885200153</v>
      </c>
      <c r="E52" s="6">
        <f t="shared" si="31"/>
        <v>4962.7438892157543</v>
      </c>
      <c r="F52" s="6">
        <f t="shared" si="31"/>
        <v>4963.9817899114923</v>
      </c>
      <c r="G52" s="6">
        <f t="shared" si="31"/>
        <v>4965.2196906072304</v>
      </c>
      <c r="H52" s="6">
        <f>'Profit and Loss Statement'!E24</f>
        <v>59500.934841368027</v>
      </c>
    </row>
    <row r="53" spans="2:15">
      <c r="B53" s="29" t="s">
        <v>102</v>
      </c>
      <c r="C53" s="6">
        <f>(C34/$H$34)*$H$53</f>
        <v>992.05361756485547</v>
      </c>
      <c r="D53" s="6">
        <f t="shared" ref="D53:G53" si="32">(D34/$H$34)*$H$53</f>
        <v>992.30119770400324</v>
      </c>
      <c r="E53" s="6">
        <f t="shared" si="32"/>
        <v>992.5487778431509</v>
      </c>
      <c r="F53" s="6">
        <f t="shared" si="32"/>
        <v>992.79635798229856</v>
      </c>
      <c r="G53" s="6">
        <f t="shared" si="32"/>
        <v>993.04393812144622</v>
      </c>
      <c r="H53" s="6">
        <f>'Profit and Loss Statement'!E25</f>
        <v>11900.186968273607</v>
      </c>
    </row>
    <row r="54" spans="2:15">
      <c r="B54" s="29" t="s">
        <v>16</v>
      </c>
      <c r="C54" s="6">
        <f>'Loan Amortization Table'!D21</f>
        <v>1083.3781664515182</v>
      </c>
      <c r="D54" s="6">
        <f>'Loan Amortization Table'!D22</f>
        <v>1077.2524781530014</v>
      </c>
      <c r="E54" s="6">
        <f>'Loan Amortization Table'!D23</f>
        <v>1071.080847192246</v>
      </c>
      <c r="F54" s="6">
        <f>'Loan Amortization Table'!D24</f>
        <v>1064.8629289992846</v>
      </c>
      <c r="G54" s="6">
        <f>'Loan Amortization Table'!D25</f>
        <v>1058.5983764198763</v>
      </c>
      <c r="H54" s="6">
        <f>'Profit and Loss Statement'!E26</f>
        <v>13106.551234527855</v>
      </c>
    </row>
    <row r="55" spans="2:15">
      <c r="B55" s="29" t="s">
        <v>54</v>
      </c>
      <c r="C55" s="6">
        <f>$H$55/12</f>
        <v>833.33333333333337</v>
      </c>
      <c r="D55" s="6">
        <f t="shared" ref="D55:G55" si="33">$H$55/12</f>
        <v>833.33333333333337</v>
      </c>
      <c r="E55" s="6">
        <f t="shared" si="33"/>
        <v>833.33333333333337</v>
      </c>
      <c r="F55" s="6">
        <f t="shared" si="33"/>
        <v>833.33333333333337</v>
      </c>
      <c r="G55" s="6">
        <f t="shared" si="33"/>
        <v>833.33333333333337</v>
      </c>
      <c r="H55" s="6">
        <f>'Profit and Loss Statement'!E27</f>
        <v>10000</v>
      </c>
    </row>
    <row r="56" spans="2:15">
      <c r="B56" s="38" t="s">
        <v>17</v>
      </c>
      <c r="C56" s="39">
        <f>C51-SUM(C52:C55)</f>
        <v>13920.08267815935</v>
      </c>
      <c r="D56" s="39">
        <f t="shared" ref="D56:G56" si="34">D51-SUM(D52:D55)</f>
        <v>13944.672885622989</v>
      </c>
      <c r="E56" s="39">
        <f t="shared" si="34"/>
        <v>13969.309035748858</v>
      </c>
      <c r="F56" s="39">
        <f t="shared" si="34"/>
        <v>13993.991473106929</v>
      </c>
      <c r="G56" s="39">
        <f t="shared" si="34"/>
        <v>14018.720544851449</v>
      </c>
      <c r="H56" s="39">
        <f>'Profit and Loss Statement'!E28</f>
        <v>166602.61755583045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302815.8</v>
      </c>
      <c r="D62" s="6">
        <f t="shared" ref="D62:F62" si="38">$G$62*M62</f>
        <v>302815.8</v>
      </c>
      <c r="E62" s="6">
        <f t="shared" si="38"/>
        <v>302815.8</v>
      </c>
      <c r="F62" s="6">
        <f t="shared" si="38"/>
        <v>302815.8</v>
      </c>
      <c r="G62" s="6">
        <f>'Profit and Loss Statement'!F6</f>
        <v>1211263.2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15140.789999999999</v>
      </c>
      <c r="D63" s="6">
        <f t="shared" ref="D63:F63" si="39">$G$63*M62</f>
        <v>15140.789999999999</v>
      </c>
      <c r="E63" s="6">
        <f t="shared" si="39"/>
        <v>15140.789999999999</v>
      </c>
      <c r="F63" s="6">
        <f t="shared" si="39"/>
        <v>15140.789999999999</v>
      </c>
      <c r="G63" s="6">
        <f>'Profit and Loss Statement'!F7</f>
        <v>60563.159999999996</v>
      </c>
    </row>
    <row r="64" spans="2:15">
      <c r="B64" s="29" t="s">
        <v>12</v>
      </c>
      <c r="C64" s="17">
        <f>1-(C63/C62)</f>
        <v>0.95</v>
      </c>
      <c r="D64" s="17">
        <f t="shared" ref="D64" si="40">1-(D63/D62)</f>
        <v>0.95</v>
      </c>
      <c r="E64" s="17">
        <f t="shared" ref="E64" si="41">1-(E63/E62)</f>
        <v>0.95</v>
      </c>
      <c r="F64" s="17">
        <f t="shared" ref="F64:G64" si="42">1-(F63/F62)</f>
        <v>0.95</v>
      </c>
      <c r="G64" s="17">
        <f t="shared" si="42"/>
        <v>0.95</v>
      </c>
    </row>
    <row r="65" spans="2:7">
      <c r="B65" s="30"/>
    </row>
    <row r="66" spans="2:7">
      <c r="B66" s="37" t="s">
        <v>10</v>
      </c>
      <c r="C66" s="6">
        <f>C62-C63</f>
        <v>287675.01</v>
      </c>
      <c r="D66" s="6">
        <f t="shared" ref="D66:G66" si="43">D62-D63</f>
        <v>287675.01</v>
      </c>
      <c r="E66" s="6">
        <f t="shared" si="43"/>
        <v>287675.01</v>
      </c>
      <c r="F66" s="6">
        <f t="shared" si="43"/>
        <v>287675.01</v>
      </c>
      <c r="G66" s="6">
        <f t="shared" si="43"/>
        <v>1150700.04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135831.25</v>
      </c>
      <c r="D69" s="6">
        <f t="shared" ref="D69:F69" si="44">$G$69/4</f>
        <v>135831.25</v>
      </c>
      <c r="E69" s="6">
        <f t="shared" si="44"/>
        <v>135831.25</v>
      </c>
      <c r="F69" s="6">
        <f t="shared" si="44"/>
        <v>135831.25</v>
      </c>
      <c r="G69" s="6">
        <f>'Profit and Loss Statement'!F13</f>
        <v>543325</v>
      </c>
    </row>
    <row r="70" spans="2:7">
      <c r="B70" s="33" t="str">
        <f>B42</f>
        <v>Facility Costs</v>
      </c>
      <c r="C70" s="6">
        <f>$G$70/4</f>
        <v>12875</v>
      </c>
      <c r="D70" s="6">
        <f t="shared" ref="D70:F70" si="45">$G$70/4</f>
        <v>12875</v>
      </c>
      <c r="E70" s="6">
        <f t="shared" si="45"/>
        <v>12875</v>
      </c>
      <c r="F70" s="6">
        <f t="shared" si="45"/>
        <v>12875</v>
      </c>
      <c r="G70" s="6">
        <f>'Profit and Loss Statement'!F14</f>
        <v>51500</v>
      </c>
    </row>
    <row r="71" spans="2:7">
      <c r="B71" s="33" t="str">
        <f t="shared" ref="B71:B75" si="46">B43</f>
        <v>General and Administrative</v>
      </c>
      <c r="C71" s="6">
        <f>$G$71/4</f>
        <v>4754.208059999999</v>
      </c>
      <c r="D71" s="6">
        <f t="shared" ref="D71:F71" si="47">$G$71/4</f>
        <v>4754.208059999999</v>
      </c>
      <c r="E71" s="6">
        <f t="shared" si="47"/>
        <v>4754.208059999999</v>
      </c>
      <c r="F71" s="6">
        <f t="shared" si="47"/>
        <v>4754.208059999999</v>
      </c>
      <c r="G71" s="6">
        <f>'Profit and Loss Statement'!F15</f>
        <v>19016.832239999996</v>
      </c>
    </row>
    <row r="72" spans="2:7">
      <c r="B72" s="33" t="str">
        <f t="shared" si="46"/>
        <v>Equipment Costs</v>
      </c>
      <c r="C72" s="6">
        <f>$G$72/4</f>
        <v>4602.8001599999998</v>
      </c>
      <c r="D72" s="6">
        <f t="shared" ref="D72:F72" si="48">$G$72/4</f>
        <v>4602.8001599999998</v>
      </c>
      <c r="E72" s="6">
        <f t="shared" si="48"/>
        <v>4602.8001599999998</v>
      </c>
      <c r="F72" s="6">
        <f t="shared" si="48"/>
        <v>4602.8001599999998</v>
      </c>
      <c r="G72" s="6">
        <f>'Profit and Loss Statement'!F16</f>
        <v>18411.200639999999</v>
      </c>
    </row>
    <row r="73" spans="2:7">
      <c r="B73" s="33" t="str">
        <f t="shared" si="46"/>
        <v>Insurance Costs</v>
      </c>
      <c r="C73" s="6">
        <f>$G$73/4</f>
        <v>8149.875</v>
      </c>
      <c r="D73" s="6">
        <f t="shared" ref="D73:F73" si="49">$G$73/4</f>
        <v>8149.875</v>
      </c>
      <c r="E73" s="6">
        <f t="shared" si="49"/>
        <v>8149.875</v>
      </c>
      <c r="F73" s="6">
        <f t="shared" si="49"/>
        <v>8149.875</v>
      </c>
      <c r="G73" s="6">
        <f>'Profit and Loss Statement'!F17</f>
        <v>32599.5</v>
      </c>
    </row>
    <row r="74" spans="2:7">
      <c r="B74" s="33" t="str">
        <f t="shared" si="46"/>
        <v>Marketing</v>
      </c>
      <c r="C74" s="6">
        <f>$G$74/4</f>
        <v>3633.7896000000001</v>
      </c>
      <c r="D74" s="6">
        <f t="shared" ref="D74:F74" si="50">$G$74/4</f>
        <v>3633.7896000000001</v>
      </c>
      <c r="E74" s="6">
        <f t="shared" si="50"/>
        <v>3633.7896000000001</v>
      </c>
      <c r="F74" s="6">
        <f t="shared" si="50"/>
        <v>3633.7896000000001</v>
      </c>
      <c r="G74" s="6">
        <f>'Profit and Loss Statement'!F18</f>
        <v>14535.1584</v>
      </c>
    </row>
    <row r="75" spans="2:7">
      <c r="B75" s="33" t="str">
        <f t="shared" si="46"/>
        <v>Professional Fees and Licensure</v>
      </c>
      <c r="C75" s="6">
        <f>$G$75/4</f>
        <v>1687.5</v>
      </c>
      <c r="D75" s="6">
        <f t="shared" ref="D75:F75" si="51">$G$75/4</f>
        <v>1687.5</v>
      </c>
      <c r="E75" s="6">
        <f t="shared" si="51"/>
        <v>1687.5</v>
      </c>
      <c r="F75" s="6">
        <f t="shared" si="51"/>
        <v>1687.5</v>
      </c>
      <c r="G75" s="6">
        <f>'Profit and Loss Statement'!F19</f>
        <v>6750</v>
      </c>
    </row>
    <row r="76" spans="2:7">
      <c r="B76" s="29" t="s">
        <v>14</v>
      </c>
      <c r="C76" s="6">
        <f>$G$76/4</f>
        <v>10391.090624999999</v>
      </c>
      <c r="D76" s="6">
        <f t="shared" ref="D76:F76" si="52">$G$76/4</f>
        <v>10391.090624999999</v>
      </c>
      <c r="E76" s="6">
        <f t="shared" si="52"/>
        <v>10391.090624999999</v>
      </c>
      <c r="F76" s="6">
        <f t="shared" si="52"/>
        <v>10391.090624999999</v>
      </c>
      <c r="G76" s="6">
        <f>'Profit and Loss Statement'!F20</f>
        <v>41564.362499999996</v>
      </c>
    </row>
    <row r="77" spans="2:7">
      <c r="B77" s="28" t="s">
        <v>8</v>
      </c>
      <c r="C77" s="6">
        <f>SUM(C69:C76)</f>
        <v>181925.51344500002</v>
      </c>
      <c r="D77" s="6">
        <f t="shared" ref="D77:F77" si="53">SUM(D69:D76)</f>
        <v>181925.51344500002</v>
      </c>
      <c r="E77" s="6">
        <f t="shared" si="53"/>
        <v>181925.51344500002</v>
      </c>
      <c r="F77" s="6">
        <f t="shared" si="53"/>
        <v>181925.51344500002</v>
      </c>
      <c r="G77" s="6">
        <f>SUM(G69:G76)</f>
        <v>727702.05378000007</v>
      </c>
    </row>
    <row r="78" spans="2:7">
      <c r="B78" s="30"/>
    </row>
    <row r="79" spans="2:7">
      <c r="B79" s="24" t="s">
        <v>47</v>
      </c>
      <c r="C79" s="25">
        <f>C66-C77</f>
        <v>105749.49655499999</v>
      </c>
      <c r="D79" s="25">
        <f t="shared" ref="D79:F79" si="54">D66-D77</f>
        <v>105749.49655499999</v>
      </c>
      <c r="E79" s="25">
        <f t="shared" si="54"/>
        <v>105749.49655499999</v>
      </c>
      <c r="F79" s="25">
        <f t="shared" si="54"/>
        <v>105749.49655499999</v>
      </c>
      <c r="G79" s="25">
        <f t="shared" ref="G79" si="55">G66-G77</f>
        <v>422997.98621999996</v>
      </c>
    </row>
    <row r="80" spans="2:7">
      <c r="B80" s="29" t="s">
        <v>15</v>
      </c>
      <c r="C80" s="6">
        <f>$G$80*L62</f>
        <v>25050.056319825002</v>
      </c>
      <c r="D80" s="6">
        <f t="shared" ref="D80:F80" si="56">$G$80*M62</f>
        <v>25050.056319825002</v>
      </c>
      <c r="E80" s="6">
        <f t="shared" si="56"/>
        <v>25050.056319825002</v>
      </c>
      <c r="F80" s="6">
        <f t="shared" si="56"/>
        <v>25050.056319825002</v>
      </c>
      <c r="G80" s="6">
        <f>'Profit and Loss Statement'!F24</f>
        <v>100200.22527930001</v>
      </c>
    </row>
    <row r="81" spans="2:15">
      <c r="B81" s="29" t="s">
        <v>102</v>
      </c>
      <c r="C81" s="6">
        <f>$G$81*L62</f>
        <v>5010.0112639650006</v>
      </c>
      <c r="D81" s="6">
        <f t="shared" ref="D81:F81" si="57">$G$81*M62</f>
        <v>5010.0112639650006</v>
      </c>
      <c r="E81" s="6">
        <f t="shared" si="57"/>
        <v>5010.0112639650006</v>
      </c>
      <c r="F81" s="6">
        <f t="shared" si="57"/>
        <v>5010.0112639650006</v>
      </c>
      <c r="G81" s="6">
        <f>'Profit and Loss Statement'!F25</f>
        <v>20040.045055860002</v>
      </c>
    </row>
    <row r="82" spans="2:15">
      <c r="B82" s="29" t="s">
        <v>16</v>
      </c>
      <c r="C82" s="6">
        <f>SUM('Loan Amortization Table'!D26:D28)</f>
        <v>3137.7362077914518</v>
      </c>
      <c r="D82" s="6">
        <f>SUM('Loan Amortization Table'!D29:D31)</f>
        <v>3079.6425192448505</v>
      </c>
      <c r="E82" s="6">
        <f>SUM('Loan Amortization Table'!D32:D34)</f>
        <v>3020.2318948877346</v>
      </c>
      <c r="F82" s="6">
        <f>SUM('Loan Amortization Table'!D35:D37)</f>
        <v>2959.474480875866</v>
      </c>
      <c r="G82" s="6">
        <f>'Profit and Loss Statement'!F26</f>
        <v>12197.085102799903</v>
      </c>
    </row>
    <row r="83" spans="2:15">
      <c r="B83" s="29" t="s">
        <v>54</v>
      </c>
      <c r="C83" s="6">
        <f>$G$83/4</f>
        <v>2500</v>
      </c>
      <c r="D83" s="6">
        <f t="shared" ref="D83:F83" si="58">$G$83/4</f>
        <v>2500</v>
      </c>
      <c r="E83" s="6">
        <f t="shared" si="58"/>
        <v>2500</v>
      </c>
      <c r="F83" s="6">
        <f t="shared" si="58"/>
        <v>2500</v>
      </c>
      <c r="G83" s="6">
        <f>'Profit and Loss Statement'!F27</f>
        <v>10000</v>
      </c>
    </row>
    <row r="84" spans="2:15">
      <c r="B84" s="38" t="s">
        <v>17</v>
      </c>
      <c r="C84" s="39">
        <f>C79-SUM(C80:C83)</f>
        <v>70051.692763418541</v>
      </c>
      <c r="D84" s="39">
        <f t="shared" ref="D84:F84" si="59">D79-SUM(D80:D83)</f>
        <v>70109.786451965134</v>
      </c>
      <c r="E84" s="39">
        <f t="shared" si="59"/>
        <v>70169.197076322249</v>
      </c>
      <c r="F84" s="39">
        <f t="shared" si="59"/>
        <v>70229.954490334116</v>
      </c>
      <c r="G84" s="39">
        <f>'Profit and Loss Statement'!F28</f>
        <v>280560.63078204007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348238.17</v>
      </c>
      <c r="D92" s="6">
        <f t="shared" ref="D92:F92" si="64">$G$92*M92</f>
        <v>348238.17</v>
      </c>
      <c r="E92" s="6">
        <f t="shared" si="64"/>
        <v>348238.17</v>
      </c>
      <c r="F92" s="6">
        <f t="shared" si="64"/>
        <v>348238.17</v>
      </c>
      <c r="G92" s="6">
        <f>'Profit and Loss Statement'!G6</f>
        <v>1392952.68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17411.908499999998</v>
      </c>
      <c r="D93" s="6">
        <f t="shared" ref="D93:F93" si="65">$G$93*M92</f>
        <v>17411.908499999998</v>
      </c>
      <c r="E93" s="6">
        <f t="shared" si="65"/>
        <v>17411.908499999998</v>
      </c>
      <c r="F93" s="6">
        <f t="shared" si="65"/>
        <v>17411.908499999998</v>
      </c>
      <c r="G93" s="6">
        <f>'Profit and Loss Statement'!G7</f>
        <v>69647.633999999991</v>
      </c>
    </row>
    <row r="94" spans="2:15">
      <c r="B94" s="29" t="s">
        <v>12</v>
      </c>
      <c r="C94" s="17">
        <f>1-(C93/C92)</f>
        <v>0.95</v>
      </c>
      <c r="D94" s="17">
        <f t="shared" ref="D94:G94" si="66">1-(D93/D92)</f>
        <v>0.95</v>
      </c>
      <c r="E94" s="17">
        <f t="shared" si="66"/>
        <v>0.95</v>
      </c>
      <c r="F94" s="17">
        <f t="shared" si="66"/>
        <v>0.95</v>
      </c>
      <c r="G94" s="17">
        <f t="shared" si="66"/>
        <v>0.95</v>
      </c>
    </row>
    <row r="95" spans="2:15">
      <c r="B95" s="30"/>
    </row>
    <row r="96" spans="2:15">
      <c r="B96" s="37" t="s">
        <v>10</v>
      </c>
      <c r="C96" s="6">
        <f>C92-C93</f>
        <v>330826.26149999996</v>
      </c>
      <c r="D96" s="6">
        <f t="shared" ref="D96:G96" si="67">D92-D93</f>
        <v>330826.26149999996</v>
      </c>
      <c r="E96" s="6">
        <f t="shared" si="67"/>
        <v>330826.26149999996</v>
      </c>
      <c r="F96" s="6">
        <f t="shared" si="67"/>
        <v>330826.26149999996</v>
      </c>
      <c r="G96" s="6">
        <f t="shared" si="67"/>
        <v>1323305.0459999999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139906.1875</v>
      </c>
      <c r="D99" s="6">
        <f>$G$99/4</f>
        <v>139906.1875</v>
      </c>
      <c r="E99" s="6">
        <f>$G$99/4</f>
        <v>139906.1875</v>
      </c>
      <c r="F99" s="6">
        <f>$G$99/4</f>
        <v>139906.1875</v>
      </c>
      <c r="G99" s="6">
        <f>'Profit and Loss Statement'!G13</f>
        <v>559624.75</v>
      </c>
    </row>
    <row r="100" spans="2:7">
      <c r="B100" s="33" t="str">
        <f>B70</f>
        <v>Facility Costs</v>
      </c>
      <c r="C100" s="6">
        <f>$G$100/4</f>
        <v>13261.25</v>
      </c>
      <c r="D100" s="6">
        <f t="shared" ref="D100:F100" si="68">$G$100/4</f>
        <v>13261.25</v>
      </c>
      <c r="E100" s="6">
        <f t="shared" si="68"/>
        <v>13261.25</v>
      </c>
      <c r="F100" s="6">
        <f t="shared" si="68"/>
        <v>13261.25</v>
      </c>
      <c r="G100" s="6">
        <f>'Profit and Loss Statement'!G14</f>
        <v>53045</v>
      </c>
    </row>
    <row r="101" spans="2:7">
      <c r="B101" s="33" t="str">
        <f t="shared" ref="B101:B105" si="69">B71</f>
        <v>General and Administrative</v>
      </c>
      <c r="C101" s="6">
        <f>$G101/4</f>
        <v>5467.3392689999991</v>
      </c>
      <c r="D101" s="6">
        <f t="shared" ref="D101:F101" si="70">$G101/4</f>
        <v>5467.3392689999991</v>
      </c>
      <c r="E101" s="6">
        <f t="shared" si="70"/>
        <v>5467.3392689999991</v>
      </c>
      <c r="F101" s="6">
        <f t="shared" si="70"/>
        <v>5467.3392689999991</v>
      </c>
      <c r="G101" s="6">
        <f>'Profit and Loss Statement'!G15</f>
        <v>21869.357075999997</v>
      </c>
    </row>
    <row r="102" spans="2:7">
      <c r="B102" s="33" t="str">
        <f t="shared" si="69"/>
        <v>Equipment Costs</v>
      </c>
      <c r="C102" s="6">
        <f>$G$102/4</f>
        <v>5293.2201839999998</v>
      </c>
      <c r="D102" s="6">
        <f t="shared" ref="D102:F102" si="71">$G$102/4</f>
        <v>5293.2201839999998</v>
      </c>
      <c r="E102" s="6">
        <f t="shared" si="71"/>
        <v>5293.2201839999998</v>
      </c>
      <c r="F102" s="6">
        <f t="shared" si="71"/>
        <v>5293.2201839999998</v>
      </c>
      <c r="G102" s="6">
        <f>'Profit and Loss Statement'!G16</f>
        <v>21172.880735999999</v>
      </c>
    </row>
    <row r="103" spans="2:7">
      <c r="B103" s="33" t="str">
        <f t="shared" si="69"/>
        <v>Insurance Costs</v>
      </c>
      <c r="C103" s="6">
        <f>$G$103/4</f>
        <v>8394.3712500000001</v>
      </c>
      <c r="D103" s="6">
        <f t="shared" ref="D103:F103" si="72">$G$103/4</f>
        <v>8394.3712500000001</v>
      </c>
      <c r="E103" s="6">
        <f t="shared" si="72"/>
        <v>8394.3712500000001</v>
      </c>
      <c r="F103" s="6">
        <f t="shared" si="72"/>
        <v>8394.3712500000001</v>
      </c>
      <c r="G103" s="6">
        <f>'Profit and Loss Statement'!G17</f>
        <v>33577.485000000001</v>
      </c>
    </row>
    <row r="104" spans="2:7">
      <c r="B104" s="33" t="str">
        <f t="shared" si="69"/>
        <v>Marketing</v>
      </c>
      <c r="C104" s="6">
        <f>$G$104/4</f>
        <v>4178.8580400000001</v>
      </c>
      <c r="D104" s="6">
        <f t="shared" ref="D104:F104" si="73">$G$104/4</f>
        <v>4178.8580400000001</v>
      </c>
      <c r="E104" s="6">
        <f t="shared" si="73"/>
        <v>4178.8580400000001</v>
      </c>
      <c r="F104" s="6">
        <f t="shared" si="73"/>
        <v>4178.8580400000001</v>
      </c>
      <c r="G104" s="6">
        <f>'Profit and Loss Statement'!G18</f>
        <v>16715.43216</v>
      </c>
    </row>
    <row r="105" spans="2:7">
      <c r="B105" s="33" t="str">
        <f t="shared" si="69"/>
        <v>Professional Fees and Licensure</v>
      </c>
      <c r="C105" s="6">
        <f>$G$105/4</f>
        <v>2278.125</v>
      </c>
      <c r="D105" s="6">
        <f t="shared" ref="D105:F105" si="74">$G$105/4</f>
        <v>2278.125</v>
      </c>
      <c r="E105" s="6">
        <f t="shared" si="74"/>
        <v>2278.125</v>
      </c>
      <c r="F105" s="6">
        <f t="shared" si="74"/>
        <v>2278.125</v>
      </c>
      <c r="G105" s="6">
        <f>'Profit and Loss Statement'!G19</f>
        <v>9112.5</v>
      </c>
    </row>
    <row r="106" spans="2:7">
      <c r="B106" s="29" t="s">
        <v>14</v>
      </c>
      <c r="C106" s="6">
        <f>$G$106/4</f>
        <v>10702.82334375</v>
      </c>
      <c r="D106" s="6">
        <f t="shared" ref="D106:F106" si="75">$G$106/4</f>
        <v>10702.82334375</v>
      </c>
      <c r="E106" s="6">
        <f t="shared" si="75"/>
        <v>10702.82334375</v>
      </c>
      <c r="F106" s="6">
        <f t="shared" si="75"/>
        <v>10702.82334375</v>
      </c>
      <c r="G106" s="6">
        <f>'Profit and Loss Statement'!G20</f>
        <v>42811.293375000001</v>
      </c>
    </row>
    <row r="107" spans="2:7">
      <c r="B107" s="28" t="s">
        <v>8</v>
      </c>
      <c r="C107" s="6">
        <f>SUM(C99:C106)</f>
        <v>189482.17458674998</v>
      </c>
      <c r="D107" s="6">
        <f t="shared" ref="D107:F107" si="76">SUM(D99:D106)</f>
        <v>189482.17458674998</v>
      </c>
      <c r="E107" s="6">
        <f t="shared" si="76"/>
        <v>189482.17458674998</v>
      </c>
      <c r="F107" s="6">
        <f t="shared" si="76"/>
        <v>189482.17458674998</v>
      </c>
      <c r="G107" s="6">
        <f>SUM(G99:G106)</f>
        <v>757928.69834699994</v>
      </c>
    </row>
    <row r="108" spans="2:7">
      <c r="B108" s="30"/>
    </row>
    <row r="109" spans="2:7">
      <c r="B109" s="24" t="s">
        <v>47</v>
      </c>
      <c r="C109" s="25">
        <f>C96-C107</f>
        <v>141344.08691324998</v>
      </c>
      <c r="D109" s="25">
        <f t="shared" ref="D109:G109" si="77">D96-D107</f>
        <v>141344.08691324998</v>
      </c>
      <c r="E109" s="25">
        <f t="shared" si="77"/>
        <v>141344.08691324998</v>
      </c>
      <c r="F109" s="25">
        <f t="shared" si="77"/>
        <v>141344.08691324998</v>
      </c>
      <c r="G109" s="25">
        <f t="shared" si="77"/>
        <v>565376.34765299992</v>
      </c>
    </row>
    <row r="110" spans="2:7">
      <c r="B110" s="29" t="s">
        <v>15</v>
      </c>
      <c r="C110" s="6">
        <f>$G$110*L92</f>
        <v>34010.877679892634</v>
      </c>
      <c r="D110" s="6">
        <f t="shared" ref="D110:F110" si="78">$G$110*M92</f>
        <v>34010.877679892634</v>
      </c>
      <c r="E110" s="6">
        <f t="shared" si="78"/>
        <v>34010.877679892634</v>
      </c>
      <c r="F110" s="6">
        <f t="shared" si="78"/>
        <v>34010.877679892634</v>
      </c>
      <c r="G110" s="6">
        <f>'Profit and Loss Statement'!G24</f>
        <v>136043.51071957054</v>
      </c>
    </row>
    <row r="111" spans="2:7">
      <c r="B111" s="29" t="s">
        <v>102</v>
      </c>
      <c r="C111" s="6">
        <f>$G$111*L92</f>
        <v>6802.1755359785275</v>
      </c>
      <c r="D111" s="6">
        <f t="shared" ref="D111:F111" si="79">$G$111*M92</f>
        <v>6802.1755359785275</v>
      </c>
      <c r="E111" s="6">
        <f t="shared" si="79"/>
        <v>6802.1755359785275</v>
      </c>
      <c r="F111" s="6">
        <f t="shared" si="79"/>
        <v>6802.1755359785275</v>
      </c>
      <c r="G111" s="6">
        <f>'Profit and Loss Statement'!G25</f>
        <v>27208.70214391411</v>
      </c>
    </row>
    <row r="112" spans="2:7">
      <c r="B112" s="29" t="s">
        <v>16</v>
      </c>
      <c r="C112" s="6">
        <f>SUM('Loan Amortization Table'!D38:D40)</f>
        <v>2897.339746603081</v>
      </c>
      <c r="D112" s="6">
        <f>SUM('Loan Amortization Table'!D41:D43)</f>
        <v>2833.7964693596596</v>
      </c>
      <c r="E112" s="6">
        <f>SUM('Loan Amortization Table'!D44:D46)</f>
        <v>2768.812718642906</v>
      </c>
      <c r="F112" s="6">
        <f>SUM('Loan Amortization Table'!D47:D49)</f>
        <v>2702.3558401120727</v>
      </c>
      <c r="G112" s="6">
        <f>'Profit and Loss Statement'!G26</f>
        <v>11202.304774717721</v>
      </c>
    </row>
    <row r="113" spans="2:15">
      <c r="B113" s="29" t="s">
        <v>54</v>
      </c>
      <c r="C113" s="6">
        <f>$G$113/4</f>
        <v>2500</v>
      </c>
      <c r="D113" s="6">
        <f>$G$113/4</f>
        <v>2500</v>
      </c>
      <c r="E113" s="6">
        <f>$G$113/4</f>
        <v>2500</v>
      </c>
      <c r="F113" s="6">
        <f>$G$113/4</f>
        <v>2500</v>
      </c>
      <c r="G113" s="6">
        <f>'Profit and Loss Statement'!G27</f>
        <v>10000</v>
      </c>
    </row>
    <row r="114" spans="2:15">
      <c r="B114" s="38" t="s">
        <v>17</v>
      </c>
      <c r="C114" s="39">
        <f>C109-SUM(C110:C113)</f>
        <v>95133.693950775749</v>
      </c>
      <c r="D114" s="39">
        <f t="shared" ref="D114:F114" si="80">D109-SUM(D110:D113)</f>
        <v>95197.237228019163</v>
      </c>
      <c r="E114" s="39">
        <f t="shared" si="80"/>
        <v>95262.220978735917</v>
      </c>
      <c r="F114" s="39">
        <f t="shared" si="80"/>
        <v>95328.677857266739</v>
      </c>
      <c r="G114" s="39">
        <f>'Profit and Loss Statement'!G28</f>
        <v>380921.83001479757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R16" sqref="R16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14582.542543788411</v>
      </c>
      <c r="E6" s="13">
        <f>'Expanded Profit and Loss'!D28+'Expanded Profit and Loss'!D27</f>
        <v>14606.820587500424</v>
      </c>
      <c r="F6" s="13">
        <f>'Expanded Profit and Loss'!E28+'Expanded Profit and Loss'!E27</f>
        <v>14631.14223264654</v>
      </c>
      <c r="G6" s="13">
        <f>'Expanded Profit and Loss'!F28+'Expanded Profit and Loss'!F27</f>
        <v>14655.507806237527</v>
      </c>
      <c r="H6" s="13">
        <f>'Expanded Profit and Loss'!G28+'Expanded Profit and Loss'!G27</f>
        <v>14679.917637736695</v>
      </c>
      <c r="I6" s="13">
        <f>'Expanded Profit and Loss'!H28+'Expanded Profit and Loss'!H27</f>
        <v>14704.372059078369</v>
      </c>
      <c r="J6" s="13">
        <f>'Expanded Profit and Loss'!I28+'Expanded Profit and Loss'!I27</f>
        <v>14728.871404686364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25000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150000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175833.33333333334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190415.87587712175</v>
      </c>
      <c r="E15" s="27">
        <f t="shared" ref="E15:J15" si="3">E6+E12</f>
        <v>15440.153920833758</v>
      </c>
      <c r="F15" s="27">
        <f t="shared" si="3"/>
        <v>15464.475565979874</v>
      </c>
      <c r="G15" s="27">
        <f t="shared" si="3"/>
        <v>15488.841139570861</v>
      </c>
      <c r="H15" s="27">
        <f t="shared" si="3"/>
        <v>15513.250971070029</v>
      </c>
      <c r="I15" s="27">
        <f t="shared" si="3"/>
        <v>15537.705392411703</v>
      </c>
      <c r="J15" s="27">
        <f t="shared" si="3"/>
        <v>15562.204738019698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775.13660625374223</v>
      </c>
      <c r="E18" s="6">
        <f>'Loan Amortization Table'!C15</f>
        <v>780.95013080064541</v>
      </c>
      <c r="F18" s="6">
        <f>'Loan Amortization Table'!C16</f>
        <v>786.80725678165027</v>
      </c>
      <c r="G18" s="6">
        <f>'Loan Amortization Table'!C17</f>
        <v>792.70831120751268</v>
      </c>
      <c r="H18" s="6">
        <f>'Loan Amortization Table'!C18</f>
        <v>798.65362354156878</v>
      </c>
      <c r="I18" s="6">
        <f>'Loan Amortization Table'!C19</f>
        <v>804.6435257181306</v>
      </c>
      <c r="J18" s="6">
        <f>'Loan Amortization Table'!C20</f>
        <v>810.67835216101639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50000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51358.469939587078</v>
      </c>
      <c r="E22" s="26">
        <f t="shared" ref="E22:J22" si="5">SUM(E18:E21)</f>
        <v>1364.2834641339787</v>
      </c>
      <c r="F22" s="26">
        <f t="shared" si="5"/>
        <v>1370.1405901149838</v>
      </c>
      <c r="G22" s="26">
        <f t="shared" si="5"/>
        <v>1376.0416445408459</v>
      </c>
      <c r="H22" s="26">
        <f t="shared" si="5"/>
        <v>1381.9869568749023</v>
      </c>
      <c r="I22" s="26">
        <f t="shared" si="5"/>
        <v>1387.9768590514641</v>
      </c>
      <c r="J22" s="26">
        <f t="shared" si="5"/>
        <v>1394.0116854943499</v>
      </c>
    </row>
    <row r="23" spans="3:10">
      <c r="C23" s="30"/>
    </row>
    <row r="24" spans="3:10">
      <c r="C24" s="42" t="s">
        <v>27</v>
      </c>
      <c r="D24" s="25">
        <f>D15-D22</f>
        <v>139057.40593753467</v>
      </c>
      <c r="E24" s="25">
        <f t="shared" ref="E24:J24" si="6">E15-E22</f>
        <v>14075.87045669978</v>
      </c>
      <c r="F24" s="25">
        <f t="shared" si="6"/>
        <v>14094.334975864891</v>
      </c>
      <c r="G24" s="25">
        <f t="shared" si="6"/>
        <v>14112.799495030014</v>
      </c>
      <c r="H24" s="25">
        <f t="shared" si="6"/>
        <v>14131.264014195127</v>
      </c>
      <c r="I24" s="25">
        <f t="shared" si="6"/>
        <v>14149.728533360238</v>
      </c>
      <c r="J24" s="25">
        <f t="shared" si="6"/>
        <v>14168.193052525348</v>
      </c>
    </row>
    <row r="25" spans="3:10">
      <c r="C25" s="42" t="s">
        <v>6</v>
      </c>
      <c r="D25" s="25">
        <f>D24</f>
        <v>139057.40593753467</v>
      </c>
      <c r="E25" s="25">
        <f>D25+E24</f>
        <v>153133.27639423445</v>
      </c>
      <c r="F25" s="25">
        <f t="shared" ref="F25:J25" si="7">E25+F24</f>
        <v>167227.61137009933</v>
      </c>
      <c r="G25" s="25">
        <f t="shared" si="7"/>
        <v>181340.41086512935</v>
      </c>
      <c r="H25" s="25">
        <f t="shared" si="7"/>
        <v>195471.67487932448</v>
      </c>
      <c r="I25" s="25">
        <f t="shared" si="7"/>
        <v>209621.40341268471</v>
      </c>
      <c r="J25" s="25">
        <f t="shared" si="7"/>
        <v>223789.59646521005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14753.416011492684</v>
      </c>
      <c r="E31" s="13">
        <f>'Expanded Profit and Loss'!D56+'Expanded Profit and Loss'!D55</f>
        <v>14778.006218956323</v>
      </c>
      <c r="F31" s="13">
        <f>'Expanded Profit and Loss'!E56+'Expanded Profit and Loss'!E55</f>
        <v>14802.642369082192</v>
      </c>
      <c r="G31" s="13">
        <f>'Expanded Profit and Loss'!F56+'Expanded Profit and Loss'!F55</f>
        <v>14827.324806440263</v>
      </c>
      <c r="H31" s="13">
        <f>'Expanded Profit and Loss'!G56+'Expanded Profit and Loss'!G55</f>
        <v>14852.053878184783</v>
      </c>
      <c r="I31" s="13">
        <f>'Cash Flow Analysis'!E6</f>
        <v>176602.61755583045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25000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150000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185000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15586.749344826017</v>
      </c>
      <c r="E40" s="27">
        <f t="shared" ref="E40:H40" si="13">E31+E37</f>
        <v>15611.339552289657</v>
      </c>
      <c r="F40" s="27">
        <f t="shared" si="13"/>
        <v>15635.975702415526</v>
      </c>
      <c r="G40" s="27">
        <f t="shared" si="13"/>
        <v>15660.658139773597</v>
      </c>
      <c r="H40" s="27">
        <f t="shared" si="13"/>
        <v>15685.387211518117</v>
      </c>
      <c r="I40" s="36">
        <f>'Cash Flow Analysis'!E15</f>
        <v>361602.61755583045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816.75843980222407</v>
      </c>
      <c r="E43" s="6">
        <f>'Loan Amortization Table'!C22</f>
        <v>822.88412810074078</v>
      </c>
      <c r="F43" s="6">
        <f>'Loan Amortization Table'!C23</f>
        <v>829.05575906149625</v>
      </c>
      <c r="G43" s="6">
        <f>'Loan Amortization Table'!C24</f>
        <v>835.27367725445765</v>
      </c>
      <c r="H43" s="6">
        <f>'Loan Amortization Table'!C25</f>
        <v>841.5382298338659</v>
      </c>
      <c r="I43" s="6">
        <f>'Cash Flow Analysis'!E18</f>
        <v>9695.0880405170501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50000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123621.83228908131</v>
      </c>
      <c r="I46" s="13">
        <f>'Cash Flow Analysis'!E21</f>
        <v>123621.83228908131</v>
      </c>
      <c r="J46" s="30"/>
    </row>
    <row r="47" spans="3:10">
      <c r="C47" s="37" t="s">
        <v>26</v>
      </c>
      <c r="D47" s="26">
        <f>SUM(D43:D46)</f>
        <v>1400.0917731355576</v>
      </c>
      <c r="E47" s="26">
        <f t="shared" ref="E47:H47" si="15">SUM(E43:E46)</f>
        <v>1406.2174614340743</v>
      </c>
      <c r="F47" s="26">
        <f t="shared" si="15"/>
        <v>1412.3890923948297</v>
      </c>
      <c r="G47" s="26">
        <f t="shared" si="15"/>
        <v>1418.6070105877911</v>
      </c>
      <c r="H47" s="26">
        <f t="shared" si="15"/>
        <v>125046.70385224851</v>
      </c>
      <c r="I47" s="26">
        <f>'Cash Flow Analysis'!E22</f>
        <v>190316.92032959836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14186.657571690459</v>
      </c>
      <c r="E49" s="25">
        <f t="shared" ref="E49:H49" si="16">E40-E47</f>
        <v>14205.122090855582</v>
      </c>
      <c r="F49" s="25">
        <f t="shared" si="16"/>
        <v>14223.586610020697</v>
      </c>
      <c r="G49" s="25">
        <f t="shared" si="16"/>
        <v>14242.051129185806</v>
      </c>
      <c r="H49" s="25">
        <f t="shared" si="16"/>
        <v>-109361.31664073039</v>
      </c>
      <c r="I49" s="45">
        <f>'Cash Flow Analysis'!E24</f>
        <v>171285.69722623209</v>
      </c>
      <c r="J49" s="30"/>
    </row>
    <row r="50" spans="3:10">
      <c r="C50" s="42" t="s">
        <v>6</v>
      </c>
      <c r="D50" s="25">
        <f>J25+D49</f>
        <v>237976.2540369005</v>
      </c>
      <c r="E50" s="25">
        <f>D50+E49</f>
        <v>252181.37612775608</v>
      </c>
      <c r="F50" s="25">
        <f t="shared" ref="F50:H50" si="17">E50+F49</f>
        <v>266404.9627377768</v>
      </c>
      <c r="G50" s="25">
        <f t="shared" si="17"/>
        <v>280647.01386696263</v>
      </c>
      <c r="H50" s="25">
        <f t="shared" si="17"/>
        <v>171285.69722623224</v>
      </c>
      <c r="I50" s="45">
        <f>'Cash Flow Analysis'!E25</f>
        <v>171285.69722623209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72551.692763418541</v>
      </c>
      <c r="E58" s="48">
        <f>'Expanded Profit and Loss'!D84+'Expanded Profit and Loss'!D83</f>
        <v>72609.786451965134</v>
      </c>
      <c r="F58" s="48">
        <f>'Expanded Profit and Loss'!E84+'Expanded Profit and Loss'!E83</f>
        <v>72669.197076322249</v>
      </c>
      <c r="G58" s="48">
        <f>'Expanded Profit and Loss'!F84+'Expanded Profit and Loss'!F83</f>
        <v>72729.954490334116</v>
      </c>
      <c r="H58" s="46">
        <f>'Cash Flow Analysis'!F6</f>
        <v>290560.63078204007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75101.692763418541</v>
      </c>
      <c r="E67" s="48">
        <f t="shared" ref="E67:G67" si="19">E58+E64</f>
        <v>75159.786451965134</v>
      </c>
      <c r="F67" s="48">
        <f t="shared" si="19"/>
        <v>75219.197076322249</v>
      </c>
      <c r="G67" s="48">
        <f t="shared" si="19"/>
        <v>75279.954490334116</v>
      </c>
      <c r="H67" s="27">
        <f>'Cash Flow Analysis'!F15</f>
        <v>300760.63078204007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2562.6736109697749</v>
      </c>
      <c r="E70" s="50">
        <f>SUM('Loan Amortization Table'!C29:C31)</f>
        <v>2620.7672995163757</v>
      </c>
      <c r="F70" s="50">
        <f>SUM('Loan Amortization Table'!C32:C34)</f>
        <v>2680.1779238734916</v>
      </c>
      <c r="G70" s="50">
        <f>SUM('Loan Amortization Table'!C35:C37)</f>
        <v>2740.9353378853612</v>
      </c>
      <c r="H70" s="32">
        <f>'Cash Flow Analysis'!F18</f>
        <v>10604.554172245003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14528.031539102005</v>
      </c>
      <c r="E72" s="50">
        <v>0</v>
      </c>
      <c r="F72" s="50">
        <v>0</v>
      </c>
      <c r="G72" s="50">
        <v>0</v>
      </c>
      <c r="H72" s="32">
        <f>'Cash Flow Analysis'!F20</f>
        <v>14528.031539102005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203392.44154742802</v>
      </c>
      <c r="H73" s="13">
        <f>'Cash Flow Analysis'!F21</f>
        <v>203392.44154742802</v>
      </c>
    </row>
    <row r="74" spans="3:8">
      <c r="C74" s="37" t="s">
        <v>26</v>
      </c>
      <c r="D74" s="51">
        <f>SUM(D70:D73)</f>
        <v>18875.705150071779</v>
      </c>
      <c r="E74" s="51">
        <f t="shared" ref="E74:G74" si="20">SUM(E70:E73)</f>
        <v>4405.7672995163757</v>
      </c>
      <c r="F74" s="51">
        <f t="shared" si="20"/>
        <v>4465.1779238734916</v>
      </c>
      <c r="G74" s="51">
        <f t="shared" si="20"/>
        <v>207918.3768853134</v>
      </c>
      <c r="H74" s="34">
        <f>'Cash Flow Analysis'!F22</f>
        <v>235665.02725877502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56225.987613346762</v>
      </c>
      <c r="E76" s="52">
        <f t="shared" ref="E76:G76" si="21">E67-E74</f>
        <v>70754.01915244876</v>
      </c>
      <c r="F76" s="52">
        <f t="shared" si="21"/>
        <v>70754.01915244876</v>
      </c>
      <c r="G76" s="52">
        <f t="shared" si="21"/>
        <v>-132638.42239497928</v>
      </c>
      <c r="H76" s="40">
        <f>'Cash Flow Analysis'!F24</f>
        <v>65095.603523265047</v>
      </c>
    </row>
    <row r="77" spans="3:8">
      <c r="C77" s="42" t="s">
        <v>6</v>
      </c>
      <c r="D77" s="52">
        <f>I50+D76</f>
        <v>227511.68483957887</v>
      </c>
      <c r="E77" s="52">
        <f>D77+E76</f>
        <v>298265.70399202761</v>
      </c>
      <c r="F77" s="52">
        <f t="shared" ref="F77:G77" si="22">E77+F76</f>
        <v>369019.72314447636</v>
      </c>
      <c r="G77" s="52">
        <f t="shared" si="22"/>
        <v>236381.30074949708</v>
      </c>
      <c r="H77" s="40">
        <f>'Cash Flow Analysis'!F25</f>
        <v>236381.30074949714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97633.693950775749</v>
      </c>
      <c r="E84" s="48">
        <f>'Expanded Profit and Loss'!D114+'Expanded Profit and Loss'!D113</f>
        <v>97697.237228019163</v>
      </c>
      <c r="F84" s="48">
        <f>'Expanded Profit and Loss'!E114+'Expanded Profit and Loss'!E113</f>
        <v>97762.220978735917</v>
      </c>
      <c r="G84" s="48">
        <f>'Expanded Profit and Loss'!F114+'Expanded Profit and Loss'!F113</f>
        <v>97828.677857266739</v>
      </c>
      <c r="H84" s="27">
        <f>'Cash Flow Analysis'!G6</f>
        <v>390921.83001479757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100234.69395077575</v>
      </c>
      <c r="E93" s="48">
        <f t="shared" ref="E93:G93" si="24">E90+E84</f>
        <v>100298.23722801916</v>
      </c>
      <c r="F93" s="48">
        <f t="shared" si="24"/>
        <v>100363.22097873592</v>
      </c>
      <c r="G93" s="48">
        <f t="shared" si="24"/>
        <v>100429.67785726674</v>
      </c>
      <c r="H93" s="27">
        <f>'Cash Flow Analysis'!G15</f>
        <v>401325.83001479757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2803.0700721581452</v>
      </c>
      <c r="E96" s="50">
        <f>SUM('Loan Amortization Table'!C41:C43)</f>
        <v>2866.6133494015671</v>
      </c>
      <c r="F96" s="50">
        <f>SUM('Loan Amortization Table'!C44:C46)</f>
        <v>2931.5971001183207</v>
      </c>
      <c r="G96" s="50">
        <f>SUM('Loan Amortization Table'!C47:C49)</f>
        <v>2998.053978649154</v>
      </c>
      <c r="H96" s="32">
        <f>'Cash Flow Analysis'!G18</f>
        <v>11599.334500327186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19546.09150073988</v>
      </c>
      <c r="E98" s="50">
        <v>0</v>
      </c>
      <c r="F98" s="50">
        <v>0</v>
      </c>
      <c r="G98" s="50">
        <v>0</v>
      </c>
      <c r="H98" s="32">
        <f>'Cash Flow Analysis'!G20</f>
        <v>19546.09150073988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273645.2810103583</v>
      </c>
      <c r="H99" s="13">
        <f>'Cash Flow Analysis'!G21</f>
        <v>273645.2810103583</v>
      </c>
    </row>
    <row r="100" spans="3:8">
      <c r="C100" s="37" t="s">
        <v>26</v>
      </c>
      <c r="D100" s="51">
        <f>SUM(D96:D99)</f>
        <v>24169.861572898026</v>
      </c>
      <c r="E100" s="51">
        <f t="shared" ref="E100:G100" si="26">SUM(E96:E99)</f>
        <v>4687.3133494015674</v>
      </c>
      <c r="F100" s="51">
        <f t="shared" si="26"/>
        <v>4752.2971001183205</v>
      </c>
      <c r="G100" s="51">
        <f t="shared" si="26"/>
        <v>278464.03498900746</v>
      </c>
      <c r="H100" s="34">
        <f>'Cash Flow Analysis'!G22</f>
        <v>312073.50701142539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76064.832377877727</v>
      </c>
      <c r="E102" s="52">
        <f t="shared" ref="E102:G102" si="27">E93-E100</f>
        <v>95610.923878617599</v>
      </c>
      <c r="F102" s="52">
        <f t="shared" si="27"/>
        <v>95610.923878617599</v>
      </c>
      <c r="G102" s="52">
        <f t="shared" si="27"/>
        <v>-178034.35713174072</v>
      </c>
      <c r="H102" s="40">
        <f>'Cash Flow Analysis'!G24</f>
        <v>89252.323003372177</v>
      </c>
    </row>
    <row r="103" spans="3:8">
      <c r="C103" s="42" t="s">
        <v>6</v>
      </c>
      <c r="D103" s="52">
        <f>G77+D102</f>
        <v>312446.13312737481</v>
      </c>
      <c r="E103" s="52">
        <f>D103+E102</f>
        <v>408057.05700599239</v>
      </c>
      <c r="F103" s="52">
        <f t="shared" ref="F103:G103" si="28">E103+F102</f>
        <v>503667.98088460998</v>
      </c>
      <c r="G103" s="52">
        <f t="shared" si="28"/>
        <v>325633.62375286926</v>
      </c>
      <c r="H103" s="40">
        <f>'Cash Flow Analysis'!G25</f>
        <v>325633.62375286932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2025-10-03T14:44:33Z</dcterms:modified>
</cp:coreProperties>
</file>