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Medical Staffing\"/>
    </mc:Choice>
  </mc:AlternateContent>
  <xr:revisionPtr revIDLastSave="0" documentId="13_ncr:1_{8481F09E-E96B-47FA-B80D-892EDC94D2C3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Revenue Overview" sheetId="9" r:id="rId3"/>
    <sheet name="Use of Funds" sheetId="6" r:id="rId4"/>
    <sheet name="Profit and Loss Statement" sheetId="2" r:id="rId5"/>
    <sheet name="Cash Flow Analysis" sheetId="3" r:id="rId6"/>
    <sheet name="Balance Sheet" sheetId="4" r:id="rId7"/>
    <sheet name="Expanded Profit and Loss" sheetId="11" r:id="rId8"/>
    <sheet name=" Expanded Cash Flow Analysis" sheetId="12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7" l="1"/>
  <c r="B26" i="7"/>
  <c r="B27" i="7"/>
  <c r="B28" i="7"/>
  <c r="B29" i="7"/>
  <c r="B30" i="7"/>
  <c r="B31" i="7"/>
  <c r="B32" i="7"/>
  <c r="B33" i="7"/>
  <c r="B24" i="7"/>
  <c r="L41" i="7"/>
  <c r="M41" i="7"/>
  <c r="M36" i="7"/>
  <c r="M37" i="7"/>
  <c r="L38" i="7"/>
  <c r="M38" i="7"/>
  <c r="M39" i="7"/>
  <c r="L40" i="7"/>
  <c r="M40" i="7"/>
  <c r="B33" i="23"/>
  <c r="B52" i="23" s="1"/>
  <c r="H8" i="14"/>
  <c r="G8" i="14"/>
  <c r="C33" i="23"/>
  <c r="J8" i="9"/>
  <c r="J9" i="9"/>
  <c r="J10" i="9"/>
  <c r="J11" i="9"/>
  <c r="J12" i="9"/>
  <c r="J13" i="9"/>
  <c r="J14" i="9"/>
  <c r="J15" i="9"/>
  <c r="E20" i="3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L37" i="7" s="1"/>
  <c r="G13" i="7"/>
  <c r="G14" i="7"/>
  <c r="L39" i="7" s="1"/>
  <c r="G15" i="7"/>
  <c r="G27" i="7" s="1"/>
  <c r="G11" i="7"/>
  <c r="L36" i="7" s="1"/>
  <c r="L32" i="7"/>
  <c r="L35" i="7"/>
  <c r="L31" i="7"/>
  <c r="E9" i="4"/>
  <c r="F9" i="4" s="1"/>
  <c r="G9" i="4" s="1"/>
  <c r="F19" i="3"/>
  <c r="G19" i="3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B59" i="7"/>
  <c r="B60" i="7"/>
  <c r="B61" i="7"/>
  <c r="B62" i="7"/>
  <c r="B63" i="7"/>
  <c r="B64" i="7"/>
  <c r="B65" i="7"/>
  <c r="B66" i="7"/>
  <c r="B67" i="7"/>
  <c r="B58" i="7"/>
  <c r="G10" i="7"/>
  <c r="G22" i="7" s="1"/>
  <c r="G26" i="7"/>
  <c r="D87" i="12"/>
  <c r="H87" i="12"/>
  <c r="D88" i="12"/>
  <c r="H88" i="12"/>
  <c r="E23" i="6"/>
  <c r="D61" i="12"/>
  <c r="H62" i="12"/>
  <c r="D62" i="12" s="1"/>
  <c r="H61" i="12"/>
  <c r="E36" i="12"/>
  <c r="E37" i="12" s="1"/>
  <c r="H36" i="12"/>
  <c r="H37" i="12" s="1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D58" i="7"/>
  <c r="E58" i="7" s="1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G8" i="7"/>
  <c r="G20" i="7" s="1"/>
  <c r="G9" i="7"/>
  <c r="L34" i="7" s="1"/>
  <c r="G6" i="7"/>
  <c r="D33" i="23" l="1"/>
  <c r="D52" i="23" s="1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61" i="23" l="1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G51" i="23" l="1"/>
  <c r="G33" i="23"/>
  <c r="E66" i="23"/>
  <c r="F42" i="23"/>
  <c r="F6" i="11" s="1"/>
  <c r="D6" i="11"/>
  <c r="D66" i="23"/>
  <c r="F61" i="23"/>
  <c r="F7" i="11" s="1"/>
  <c r="H32" i="23"/>
  <c r="H33" i="23" s="1"/>
  <c r="C21" i="23"/>
  <c r="E17" i="2" s="1"/>
  <c r="D75" i="11"/>
  <c r="F75" i="11"/>
  <c r="E75" i="11"/>
  <c r="J16" i="7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F66" i="23" l="1"/>
  <c r="G42" i="23"/>
  <c r="G52" i="23"/>
  <c r="H52" i="23"/>
  <c r="H51" i="23"/>
  <c r="M34" i="7"/>
  <c r="M33" i="7"/>
  <c r="M35" i="7"/>
  <c r="M31" i="7"/>
  <c r="M32" i="7"/>
  <c r="I32" i="23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I33" i="23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2" i="23"/>
  <c r="H10" i="11"/>
  <c r="G10" i="11"/>
  <c r="G8" i="11"/>
  <c r="E17" i="8"/>
  <c r="D18" i="8" s="1"/>
  <c r="G18" i="12"/>
  <c r="G22" i="12" s="1"/>
  <c r="A21" i="8"/>
  <c r="B20" i="8"/>
  <c r="L51" i="23" l="1"/>
  <c r="L33" i="23"/>
  <c r="L52" i="23" s="1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C38" i="11"/>
  <c r="I8" i="11"/>
  <c r="I10" i="11"/>
  <c r="E18" i="8"/>
  <c r="D19" i="8" s="1"/>
  <c r="H26" i="11" s="1"/>
  <c r="A23" i="8"/>
  <c r="B22" i="8"/>
  <c r="N51" i="23" l="1"/>
  <c r="F21" i="9" s="1"/>
  <c r="N33" i="23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1" i="3" l="1"/>
  <c r="F20" i="3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G21" i="3" l="1"/>
  <c r="H99" i="12" s="1"/>
  <c r="G99" i="12" s="1"/>
  <c r="G100" i="12" s="1"/>
  <c r="G20" i="3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<sst xmlns="http://schemas.openxmlformats.org/spreadsheetml/2006/main" count="315" uniqueCount="136">
  <si>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</si>
  <si>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</si>
  <si>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</si>
  <si>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</si>
  <si>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</si>
  <si>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</si>
  <si>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</si>
  <si>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</si>
  <si>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</si>
  <si>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</si>
  <si>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</si>
  <si>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</si>
  <si>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</si>
  <si>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</si>
  <si>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</si>
  <si>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</si>
  <si>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</si>
  <si>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</si>
  <si>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</si>
  <si>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</si>
  <si>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</si>
  <si>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</si>
  <si>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</si>
  <si>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</si>
  <si>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</si>
  <si>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</si>
  <si>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</si>
  <si>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</si>
  <si>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</si>
  <si>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</si>
  <si>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</si>
  <si>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</si>
  <si>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</si>
  <si>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</si>
  <si>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</si>
  <si>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</si>
  <si>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</si>
  <si>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</si>
  <si>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</si>
  <si>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</si>
  <si>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</si>
  <si>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</si>
  <si>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</si>
  <si>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</si>
  <si>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</si>
  <si>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</si>
  <si>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</si>
  <si>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</si>
  <si>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</si>
  <si>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</si>
  <si>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</si>
  <si>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</si>
  <si>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</si>
  <si>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</si>
  <si>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</si>
  <si>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</si>
  <si>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</si>
  <si>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</si>
  <si>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</si>
  <si>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</si>
  <si>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</si>
  <si>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</si>
  <si>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</si>
  <si>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</si>
  <si>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</si>
  <si>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</si>
  <si>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</si>
  <si>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</si>
  <si>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</si>
  <si>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</si>
  <si>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</si>
  <si>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</si>
  <si>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</si>
  <si>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</si>
  <si>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</si>
  <si>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</si>
  <si>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</si>
  <si>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</si>
  <si>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</si>
  <si>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</si>
  <si>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</si>
  <si>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</si>
  <si>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</si>
  <si>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</si>
  <si>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</si>
  <si>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</si>
  <si>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</si>
  <si>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</si>
  <si>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</si>
  <si>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</si>
  <si>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</si>
  <si>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</si>
  <si>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</si>
  <si>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</si>
  <si>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</si>
  <si>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</si>
  <si>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</si>
  <si>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</si>
  <si>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</si>
  <si>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</si>
  <si>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</si>
  <si>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</si>
  <si>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</si>
  <si>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</si>
  <si>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</si>
  <si>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</si>
  <si>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</si>
  <si>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</si>
  <si>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</si>
  <si>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</si>
  <si>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</si>
  <si>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</si>
  <si>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</si>
  <si>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</si>
  <si>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</si>
  <si>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Senior Management</t>
  </si>
  <si>
    <t>Initial Marketing</t>
  </si>
  <si>
    <t>Initial Payroll</t>
  </si>
  <si>
    <t>Facility Costs</t>
  </si>
  <si>
    <t>Marketing</t>
  </si>
  <si>
    <t>Operational Managers</t>
  </si>
  <si>
    <t>Administrative and Accounting Staff</t>
  </si>
  <si>
    <t>Equipment Costs</t>
  </si>
  <si>
    <t>Position 6</t>
  </si>
  <si>
    <t>Position 10</t>
  </si>
  <si>
    <t>Fixed Assets</t>
  </si>
  <si>
    <t>Yearly Growth Rate</t>
  </si>
  <si>
    <t>Support Staff</t>
  </si>
  <si>
    <t>Medical Staffing Fees</t>
  </si>
  <si>
    <t>Agency Staff</t>
  </si>
  <si>
    <t>Location Development</t>
  </si>
  <si>
    <t>Placement Fees</t>
  </si>
  <si>
    <t>Postion 7</t>
  </si>
  <si>
    <t>Postion 8</t>
  </si>
  <si>
    <t>Postion 9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</si>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</sst>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4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  <xf numFmtId="0" fontId="11" fillId="0" borderId="0" xfId="2"/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182814.24580667436</c:v>
                </c:pt>
                <c:pt idx="1">
                  <c:v>322277.10285663756</c:v>
                </c:pt>
                <c:pt idx="2">
                  <c:v>444237.74063284451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17899.585575122044</c:v>
                </c:pt>
                <c:pt idx="1">
                  <c:v>19193.548063640723</c:v>
                </c:pt>
                <c:pt idx="2">
                  <c:v>20581.051205079362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127969.97206467204</c:v>
                </c:pt>
                <c:pt idx="1">
                  <c:v>225593.97199964628</c:v>
                </c:pt>
                <c:pt idx="2">
                  <c:v>310966.41844299115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182814.24580667436</c:v>
                </c:pt>
                <c:pt idx="1">
                  <c:v>322277.10285663756</c:v>
                </c:pt>
                <c:pt idx="2">
                  <c:v>444237.74063284451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C418-4804-B9D4-EB2D8059A166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C418-4804-B9D4-EB2D8059A166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127969.97206467204</c:v>
                </c:pt>
                <c:pt idx="1">
                  <c:v>225593.97199964628</c:v>
                </c:pt>
                <c:pt idx="2">
                  <c:v>310966.41844299115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329944.68816688028</c:v>
                </c:pt>
                <c:pt idx="1">
                  <c:v>235100.41442487796</c:v>
                </c:pt>
                <c:pt idx="2">
                  <c:v>94844.273742002319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400494.27096023079</c:v>
                </c:pt>
                <c:pt idx="1">
                  <c:v>218966.86636123725</c:v>
                </c:pt>
                <c:pt idx="2">
                  <c:v>181527.40459899354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506305.74194500479</c:v>
                </c:pt>
                <c:pt idx="1">
                  <c:v>201507.0151561579</c:v>
                </c:pt>
                <c:pt idx="2">
                  <c:v>304798.72678884689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2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329944.68816688028</c:v>
                </c:pt>
                <c:pt idx="1">
                  <c:v>400494.27096023079</c:v>
                </c:pt>
                <c:pt idx="2">
                  <c:v>506305.74194500479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0-4092-A24E-069E3D951D0C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2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235100.41442487796</c:v>
                </c:pt>
                <c:pt idx="1">
                  <c:v>218966.86636123725</c:v>
                </c:pt>
                <c:pt idx="2">
                  <c:v>201507.0151561579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10-4092-A24E-069E3D951D0C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62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94844.273742002319</c:v>
                </c:pt>
                <c:pt idx="1">
                  <c:v>181527.40459899354</c:v>
                </c:pt>
                <c:pt idx="2">
                  <c:v>304798.72678884689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10-4092-A24E-069E3D951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4958784"/>
        <c:axId val="1421720720"/>
      </c:barChart>
      <c:catAx>
        <c:axId val="156495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720720"/>
        <c:crosses val="autoZero"/>
        <c:auto val="1"/>
        <c:lblAlgn val="ctr"/>
        <c:lblOffset val="100"/>
        <c:noMultiLvlLbl val="0"/>
      </c:catAx>
      <c:valAx>
        <c:axId val="142172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495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2547614.6563943666</c:v>
                </c:pt>
                <c:pt idx="1">
                  <c:v>2694154.6580957738</c:v>
                </c:pt>
                <c:pt idx="2">
                  <c:v>2839484.4844157738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2547614.6563943666</c:v>
                </c:pt>
                <c:pt idx="1">
                  <c:v>2694154.6580957738</c:v>
                </c:pt>
                <c:pt idx="2">
                  <c:v>2839484.4844157738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3241782</c:v>
                </c:pt>
                <c:pt idx="1">
                  <c:v>3890138.4</c:v>
                </c:pt>
                <c:pt idx="2">
                  <c:v>4473659.1599999992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1004892.4478</c:v>
                </c:pt>
                <c:pt idx="1">
                  <c:v>1062694.3373599998</c:v>
                </c:pt>
                <c:pt idx="2">
                  <c:v>1120018.8799639998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273810.45219999994</c:v>
                </c:pt>
                <c:pt idx="1">
                  <c:v>471749.14264000021</c:v>
                </c:pt>
                <c:pt idx="2">
                  <c:v>644591.12203600002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3241782</c:v>
                </c:pt>
                <c:pt idx="1">
                  <c:v>3890138.4</c:v>
                </c:pt>
                <c:pt idx="2">
                  <c:v>4473659.1599999992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5.7273740210902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7.6200960316853597E-2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273810.45219999994</c:v>
                </c:pt>
                <c:pt idx="1">
                  <c:v>471749.14264000021</c:v>
                </c:pt>
                <c:pt idx="2">
                  <c:v>644591.12203600002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4040684234858858E-2"/>
                  <c:y val="-7.9389537514707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1004892.4478</c:v>
                </c:pt>
                <c:pt idx="1">
                  <c:v>1062694.3373599998</c:v>
                </c:pt>
                <c:pt idx="2">
                  <c:v>1120018.8799639998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Medical Staffing Fees</c:v>
                </c:pt>
                <c:pt idx="1">
                  <c:v>Placement Fees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0.7407407407407407</c:v>
                </c:pt>
                <c:pt idx="1">
                  <c:v>0.25925925925925924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5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2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329944.68816688028</c:v>
                </c:pt>
                <c:pt idx="1">
                  <c:v>400494.27096023079</c:v>
                </c:pt>
                <c:pt idx="2">
                  <c:v>506305.74194500479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B-4DA2-AFA3-5F08FE5A9FD5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2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235100.41442487796</c:v>
                </c:pt>
                <c:pt idx="1">
                  <c:v>218966.86636123725</c:v>
                </c:pt>
                <c:pt idx="2">
                  <c:v>201507.0151561579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B-4DA2-AFA3-5F08FE5A9FD5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62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94844.273742002319</c:v>
                </c:pt>
                <c:pt idx="1">
                  <c:v>181527.40459899354</c:v>
                </c:pt>
                <c:pt idx="2">
                  <c:v>304798.72678884689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B-4DA2-AFA3-5F08FE5A9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4958784"/>
        <c:axId val="1421720720"/>
      </c:barChart>
      <c:catAx>
        <c:axId val="156495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720720"/>
        <c:crosses val="autoZero"/>
        <c:auto val="1"/>
        <c:lblAlgn val="ctr"/>
        <c:lblOffset val="100"/>
        <c:noMultiLvlLbl val="0"/>
      </c:catAx>
      <c:valAx>
        <c:axId val="142172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495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Editable'!$L$31:$L$35</c:f>
              <c:strCache>
                <c:ptCount val="5"/>
                <c:pt idx="0">
                  <c:v>Senior Management</c:v>
                </c:pt>
                <c:pt idx="1">
                  <c:v>Operational Managers</c:v>
                </c:pt>
                <c:pt idx="2">
                  <c:v>Agency Staff</c:v>
                </c:pt>
                <c:pt idx="3">
                  <c:v>Support Staff</c:v>
                </c:pt>
                <c:pt idx="4">
                  <c:v>Administrative and Accounting Staff</c:v>
                </c:pt>
              </c:strCache>
            </c:strRef>
          </c:cat>
          <c:val>
            <c:numRef>
              <c:f>'Personnel - Editable'!$M$31:$M$35</c:f>
              <c:numCache>
                <c:formatCode>0.0%</c:formatCode>
                <c:ptCount val="5"/>
                <c:pt idx="0">
                  <c:v>0.1736111111111111</c:v>
                </c:pt>
                <c:pt idx="1">
                  <c:v>0.2361111111111111</c:v>
                </c:pt>
                <c:pt idx="2">
                  <c:v>0.22916666666666666</c:v>
                </c:pt>
                <c:pt idx="3">
                  <c:v>0.2361111111111111</c:v>
                </c:pt>
                <c:pt idx="4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Medical Staffing Fees</c:v>
                </c:pt>
                <c:pt idx="1">
                  <c:v>Placement Fees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0.7407407407407407</c:v>
                </c:pt>
                <c:pt idx="1">
                  <c:v>0.25925925925925924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Funds'!$D$6:$D$9</c:f>
              <c:strCache>
                <c:ptCount val="4"/>
                <c:pt idx="0">
                  <c:v>Location Development</c:v>
                </c:pt>
                <c:pt idx="1">
                  <c:v>Initial Payroll</c:v>
                </c:pt>
                <c:pt idx="2">
                  <c:v>Initial Marketing</c:v>
                </c:pt>
                <c:pt idx="3">
                  <c:v>Working Capital</c:v>
                </c:pt>
              </c:strCache>
            </c:strRef>
          </c:cat>
          <c:val>
            <c:numRef>
              <c:f>'Use of Funds'!$E$6:$E$9</c:f>
              <c:numCache>
                <c:formatCode>"$"#,##0</c:formatCode>
                <c:ptCount val="4"/>
                <c:pt idx="0">
                  <c:v>25000</c:v>
                </c:pt>
                <c:pt idx="1">
                  <c:v>200000</c:v>
                </c:pt>
                <c:pt idx="2">
                  <c:v>35000</c:v>
                </c:pt>
                <c:pt idx="3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3241782</c:v>
                </c:pt>
                <c:pt idx="1">
                  <c:v>3890138.4</c:v>
                </c:pt>
                <c:pt idx="2">
                  <c:v>4473659.1599999992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1004892.4478</c:v>
                </c:pt>
                <c:pt idx="1">
                  <c:v>1062694.3373599998</c:v>
                </c:pt>
                <c:pt idx="2">
                  <c:v>1120018.8799639998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273810.45219999994</c:v>
                </c:pt>
                <c:pt idx="1">
                  <c:v>471749.14264000021</c:v>
                </c:pt>
                <c:pt idx="2">
                  <c:v>644591.12203600002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3241782</c:v>
                </c:pt>
                <c:pt idx="1">
                  <c:v>3890138.4</c:v>
                </c:pt>
                <c:pt idx="2">
                  <c:v>4473659.1599999992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273810.45219999994</c:v>
                </c:pt>
                <c:pt idx="1">
                  <c:v>471749.14264000021</c:v>
                </c:pt>
                <c:pt idx="2">
                  <c:v>644591.12203600002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0"/>
                  <c:y val="-2.4316106835995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1004892.4478</c:v>
                </c:pt>
                <c:pt idx="1">
                  <c:v>1062694.3373599998</c:v>
                </c:pt>
                <c:pt idx="2">
                  <c:v>1120018.8799639998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182814.24580667436</c:v>
                </c:pt>
                <c:pt idx="1">
                  <c:v>322277.10285663756</c:v>
                </c:pt>
                <c:pt idx="2">
                  <c:v>444237.74063284451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17899.585575122044</c:v>
                </c:pt>
                <c:pt idx="1">
                  <c:v>19193.548063640723</c:v>
                </c:pt>
                <c:pt idx="2">
                  <c:v>20581.051205079362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127969.97206467204</c:v>
                </c:pt>
                <c:pt idx="1">
                  <c:v>225593.97199964628</c:v>
                </c:pt>
                <c:pt idx="2">
                  <c:v>310966.41844299115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182814.24580667436</c:v>
                </c:pt>
                <c:pt idx="1">
                  <c:v>322277.10285663756</c:v>
                </c:pt>
                <c:pt idx="2">
                  <c:v>444237.74063284451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4B6D-436D-9FF2-02AC8A2BC4F0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4B6D-436D-9FF2-02AC8A2BC4F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127969.97206467204</c:v>
                </c:pt>
                <c:pt idx="1">
                  <c:v>225593.97199964628</c:v>
                </c:pt>
                <c:pt idx="2">
                  <c:v>310966.41844299115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0</xdr:row>
      <xdr:rowOff>189303</xdr:rowOff>
    </xdr:from>
    <xdr:to>
      <xdr:col>21</xdr:col>
      <xdr:colOff>76200</xdr:colOff>
      <xdr:row>26</xdr:row>
      <xdr:rowOff>99015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EE5B852-BE72-72F2-0956-09ECC6376077}"/>
            </a:ext>
          </a:extLst>
        </xdr:cNvPr>
        <xdr:cNvSpPr/>
      </xdr:nvSpPr>
      <xdr:spPr>
        <a:xfrm>
          <a:off x="6200775" y="189303"/>
          <a:ext cx="10496550" cy="4862712"/>
        </a:xfrm>
        <a:prstGeom prst="rect">
          <a:avLst/>
        </a:prstGeom>
        <a:gradFill>
          <a:gsLst>
            <a:gs pos="0">
              <a:schemeClr val="bg1"/>
            </a:gs>
            <a:gs pos="92000">
              <a:schemeClr val="accent5">
                <a:lumMod val="40000"/>
                <a:lumOff val="60000"/>
              </a:schemeClr>
            </a:gs>
          </a:gsLst>
          <a:lin ang="1800000" scaled="0"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5</xdr:col>
      <xdr:colOff>314325</xdr:colOff>
      <xdr:row>1</xdr:row>
      <xdr:rowOff>9525</xdr:rowOff>
    </xdr:from>
    <xdr:to>
      <xdr:col>21</xdr:col>
      <xdr:colOff>85725</xdr:colOff>
      <xdr:row>26</xdr:row>
      <xdr:rowOff>104775</xdr:rowOff>
    </xdr:to>
    <xdr:sp macro="" textlink="">
      <xdr:nvSpPr>
        <xdr:cNvPr id="5" name="Freeform: Shape 4">
          <a:extLst>
            <a:ext uri="{FF2B5EF4-FFF2-40B4-BE49-F238E27FC236}">
              <a16:creationId xmlns:a16="http://schemas.microsoft.com/office/drawing/2014/main" id="{B4E60E3B-3427-9091-1C4C-0092D372E5B2}"/>
            </a:ext>
          </a:extLst>
        </xdr:cNvPr>
        <xdr:cNvSpPr/>
      </xdr:nvSpPr>
      <xdr:spPr>
        <a:xfrm>
          <a:off x="6210300" y="200025"/>
          <a:ext cx="10496550" cy="4857750"/>
        </a:xfrm>
        <a:custGeom>
          <a:avLst/>
          <a:gdLst>
            <a:gd name="connsiteX0" fmla="*/ 8164286 w 12192000"/>
            <a:gd name="connsiteY0" fmla="*/ 0 h 6851002"/>
            <a:gd name="connsiteX1" fmla="*/ 8285584 w 12192000"/>
            <a:gd name="connsiteY1" fmla="*/ 0 h 6851002"/>
            <a:gd name="connsiteX2" fmla="*/ 8285584 w 12192000"/>
            <a:gd name="connsiteY2" fmla="*/ 3331028 h 6851002"/>
            <a:gd name="connsiteX3" fmla="*/ 12192000 w 12192000"/>
            <a:gd name="connsiteY3" fmla="*/ 3331028 h 6851002"/>
            <a:gd name="connsiteX4" fmla="*/ 12192000 w 12192000"/>
            <a:gd name="connsiteY4" fmla="*/ 3429000 h 6851002"/>
            <a:gd name="connsiteX5" fmla="*/ 4142793 w 12192000"/>
            <a:gd name="connsiteY5" fmla="*/ 3429000 h 6851002"/>
            <a:gd name="connsiteX6" fmla="*/ 4142793 w 12192000"/>
            <a:gd name="connsiteY6" fmla="*/ 6851002 h 6851002"/>
            <a:gd name="connsiteX7" fmla="*/ 4021496 w 12192000"/>
            <a:gd name="connsiteY7" fmla="*/ 6851002 h 6851002"/>
            <a:gd name="connsiteX8" fmla="*/ 4021496 w 12192000"/>
            <a:gd name="connsiteY8" fmla="*/ 3429000 h 6851002"/>
            <a:gd name="connsiteX9" fmla="*/ 0 w 12192000"/>
            <a:gd name="connsiteY9" fmla="*/ 3429000 h 6851002"/>
            <a:gd name="connsiteX10" fmla="*/ 0 w 12192000"/>
            <a:gd name="connsiteY10" fmla="*/ 3331028 h 6851002"/>
            <a:gd name="connsiteX11" fmla="*/ 8164286 w 12192000"/>
            <a:gd name="connsiteY11" fmla="*/ 3331028 h 68510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12192000" h="6851002">
              <a:moveTo>
                <a:pt x="8164286" y="0"/>
              </a:moveTo>
              <a:lnTo>
                <a:pt x="8285584" y="0"/>
              </a:lnTo>
              <a:lnTo>
                <a:pt x="8285584" y="3331028"/>
              </a:lnTo>
              <a:lnTo>
                <a:pt x="12192000" y="3331028"/>
              </a:lnTo>
              <a:lnTo>
                <a:pt x="12192000" y="3429000"/>
              </a:lnTo>
              <a:lnTo>
                <a:pt x="4142793" y="3429000"/>
              </a:lnTo>
              <a:lnTo>
                <a:pt x="4142793" y="6851002"/>
              </a:lnTo>
              <a:lnTo>
                <a:pt x="4021496" y="6851002"/>
              </a:lnTo>
              <a:lnTo>
                <a:pt x="4021496" y="3429000"/>
              </a:lnTo>
              <a:lnTo>
                <a:pt x="0" y="3429000"/>
              </a:lnTo>
              <a:lnTo>
                <a:pt x="0" y="3331028"/>
              </a:lnTo>
              <a:lnTo>
                <a:pt x="8164286" y="3331028"/>
              </a:lnTo>
              <a:close/>
            </a:path>
          </a:pathLst>
        </a:cu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495300</xdr:colOff>
      <xdr:row>2</xdr:row>
      <xdr:rowOff>76200</xdr:rowOff>
    </xdr:from>
    <xdr:to>
      <xdr:col>20</xdr:col>
      <xdr:colOff>495300</xdr:colOff>
      <xdr:row>12</xdr:row>
      <xdr:rowOff>141678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69442B-DB9D-4A48-9DBD-1891C3D44B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16</xdr:col>
      <xdr:colOff>514350</xdr:colOff>
      <xdr:row>28</xdr:row>
      <xdr:rowOff>9525</xdr:rowOff>
    </xdr:from>
    <xdr:to>
      <xdr:col>21</xdr:col>
      <xdr:colOff>590003</xdr:colOff>
      <xdr:row>39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6FDEB9-0303-4E29-8818-C3CD07537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7475" y="53435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142875</xdr:rowOff>
    </xdr:from>
    <xdr:to>
      <xdr:col>22</xdr:col>
      <xdr:colOff>237578</xdr:colOff>
      <xdr:row>13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A4ACD7-0972-47A2-A0A2-1B37C576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4650" y="3333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476250</xdr:colOff>
      <xdr:row>1</xdr:row>
      <xdr:rowOff>104775</xdr:rowOff>
    </xdr:from>
    <xdr:to>
      <xdr:col>26</xdr:col>
      <xdr:colOff>551903</xdr:colOff>
      <xdr:row>13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92A98E-2DEE-4A29-9A90-0F60C2D3E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2952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13</xdr:row>
      <xdr:rowOff>147637</xdr:rowOff>
    </xdr:from>
    <xdr:to>
      <xdr:col>10</xdr:col>
      <xdr:colOff>485775</xdr:colOff>
      <xdr:row>28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419100</xdr:colOff>
      <xdr:row>1</xdr:row>
      <xdr:rowOff>180975</xdr:rowOff>
    </xdr:from>
    <xdr:to>
      <xdr:col>25</xdr:col>
      <xdr:colOff>494753</xdr:colOff>
      <xdr:row>13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F204CE-55DD-4F6A-9133-114B24C64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8925" y="3714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514350</xdr:colOff>
      <xdr:row>1</xdr:row>
      <xdr:rowOff>9525</xdr:rowOff>
    </xdr:from>
    <xdr:to>
      <xdr:col>26</xdr:col>
      <xdr:colOff>590003</xdr:colOff>
      <xdr:row>12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4B0BDB-8EA9-44C9-B9BE-1E5A107E6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2000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</xdr:row>
      <xdr:rowOff>114300</xdr:rowOff>
    </xdr:from>
    <xdr:to>
      <xdr:col>17</xdr:col>
      <xdr:colOff>76199</xdr:colOff>
      <xdr:row>23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161925</xdr:colOff>
      <xdr:row>28</xdr:row>
      <xdr:rowOff>38100</xdr:rowOff>
    </xdr:from>
    <xdr:to>
      <xdr:col>12</xdr:col>
      <xdr:colOff>666203</xdr:colOff>
      <xdr:row>39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A8F2C8-B804-4E0A-B8FF-2DE8288ED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34850" y="537210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647700</xdr:colOff>
      <xdr:row>16</xdr:row>
      <xdr:rowOff>19050</xdr:rowOff>
    </xdr:from>
    <xdr:to>
      <xdr:col>12</xdr:col>
      <xdr:colOff>456653</xdr:colOff>
      <xdr:row>27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BFE64E-2ECF-4C7C-9D24-52FA46A57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306705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47625</xdr:rowOff>
    </xdr:from>
    <xdr:to>
      <xdr:col>20</xdr:col>
      <xdr:colOff>257175</xdr:colOff>
      <xdr:row>27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21</xdr:col>
      <xdr:colOff>409575</xdr:colOff>
      <xdr:row>0</xdr:row>
      <xdr:rowOff>104775</xdr:rowOff>
    </xdr:from>
    <xdr:to>
      <xdr:col>26</xdr:col>
      <xdr:colOff>485228</xdr:colOff>
      <xdr:row>12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71391F-DD57-4561-83C6-8F1125569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92450" y="1047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276225</xdr:colOff>
      <xdr:row>2</xdr:row>
      <xdr:rowOff>85725</xdr:rowOff>
    </xdr:from>
    <xdr:to>
      <xdr:col>24</xdr:col>
      <xdr:colOff>351878</xdr:colOff>
      <xdr:row>13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D5809E-1303-46BD-BCAA-955C48138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49450" y="4667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371475</xdr:colOff>
      <xdr:row>0</xdr:row>
      <xdr:rowOff>85725</xdr:rowOff>
    </xdr:from>
    <xdr:to>
      <xdr:col>25</xdr:col>
      <xdr:colOff>447128</xdr:colOff>
      <xdr:row>11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B143D5-2EF8-4B78-AD72-161117397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8025" y="8572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333375</xdr:colOff>
      <xdr:row>4</xdr:row>
      <xdr:rowOff>128587</xdr:rowOff>
    </xdr:from>
    <xdr:to>
      <xdr:col>14</xdr:col>
      <xdr:colOff>161925</xdr:colOff>
      <xdr:row>19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0444A4-BFD0-44AE-D5DD-FC5E46F0B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266700</xdr:colOff>
      <xdr:row>4</xdr:row>
      <xdr:rowOff>114300</xdr:rowOff>
    </xdr:from>
    <xdr:to>
      <xdr:col>24</xdr:col>
      <xdr:colOff>342353</xdr:colOff>
      <xdr:row>16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F4FA32-1A83-4957-8849-DADC08F9D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0" y="87630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238125</xdr:colOff>
      <xdr:row>0</xdr:row>
      <xdr:rowOff>180975</xdr:rowOff>
    </xdr:from>
    <xdr:to>
      <xdr:col>24</xdr:col>
      <xdr:colOff>313778</xdr:colOff>
      <xdr:row>12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19789A-8D64-4BDF-8918-E1D8F85E2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8950" y="180975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542925</xdr:colOff>
      <xdr:row>1</xdr:row>
      <xdr:rowOff>133350</xdr:rowOff>
    </xdr:from>
    <xdr:to>
      <xdr:col>25</xdr:col>
      <xdr:colOff>8978</xdr:colOff>
      <xdr:row>13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9B0335-D48F-482A-B7A2-7045D633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0" y="323850"/>
          <a:ext cx="3123653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R66"/>
  <sheetViews>
    <sheetView showGridLines="0" tabSelected="1" workbookViewId="0">
      <selection activeCell="C33" sqref="C3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4"/>
      <c r="C3" s="144"/>
      <c r="D3" s="144"/>
      <c r="E3" s="144"/>
    </row>
    <row r="4" spans="2:5">
      <c r="B4" s="145" t="s">
        <v>111</v>
      </c>
      <c r="C4" s="145" t="s">
        <v>57</v>
      </c>
      <c r="D4" s="145" t="s">
        <v>10</v>
      </c>
      <c r="E4" s="145" t="s">
        <v>8</v>
      </c>
    </row>
    <row r="5" spans="2:5">
      <c r="B5" s="66" t="s">
        <v>128</v>
      </c>
      <c r="C5" s="146">
        <v>0.8</v>
      </c>
      <c r="D5" s="146">
        <v>0.2</v>
      </c>
      <c r="E5" s="146">
        <f>C5+D5</f>
        <v>1</v>
      </c>
    </row>
    <row r="6" spans="2:5">
      <c r="B6" s="66" t="s">
        <v>131</v>
      </c>
      <c r="C6" s="146">
        <v>0.05</v>
      </c>
      <c r="D6" s="146">
        <v>0.95</v>
      </c>
      <c r="E6" s="146">
        <f t="shared" ref="E6:E12" si="0">C6+D6</f>
        <v>1</v>
      </c>
    </row>
    <row r="7" spans="2:5">
      <c r="B7" s="66" t="s">
        <v>103</v>
      </c>
      <c r="C7" s="146">
        <v>0.05</v>
      </c>
      <c r="D7" s="146">
        <v>0.95</v>
      </c>
      <c r="E7" s="146">
        <f t="shared" si="0"/>
        <v>1</v>
      </c>
    </row>
    <row r="8" spans="2:5">
      <c r="B8" s="66" t="s">
        <v>104</v>
      </c>
      <c r="C8" s="146">
        <v>0.05</v>
      </c>
      <c r="D8" s="146">
        <v>0.95</v>
      </c>
      <c r="E8" s="146">
        <f t="shared" si="0"/>
        <v>1</v>
      </c>
    </row>
    <row r="9" spans="2:5">
      <c r="B9" s="66" t="s">
        <v>105</v>
      </c>
      <c r="C9" s="146">
        <v>0.05</v>
      </c>
      <c r="D9" s="146">
        <v>0.95</v>
      </c>
      <c r="E9" s="146">
        <f t="shared" si="0"/>
        <v>1</v>
      </c>
    </row>
    <row r="10" spans="2:5">
      <c r="B10" s="66" t="s">
        <v>106</v>
      </c>
      <c r="C10" s="146">
        <v>0.05</v>
      </c>
      <c r="D10" s="146">
        <v>0.95</v>
      </c>
      <c r="E10" s="146">
        <f t="shared" si="0"/>
        <v>1</v>
      </c>
    </row>
    <row r="11" spans="2:5">
      <c r="B11" s="66" t="s">
        <v>107</v>
      </c>
      <c r="C11" s="146">
        <v>0.05</v>
      </c>
      <c r="D11" s="146">
        <v>0.95</v>
      </c>
      <c r="E11" s="146">
        <f t="shared" si="0"/>
        <v>1</v>
      </c>
    </row>
    <row r="12" spans="2:5">
      <c r="B12" s="66" t="s">
        <v>108</v>
      </c>
      <c r="C12" s="146">
        <v>0.05</v>
      </c>
      <c r="D12" s="146">
        <v>0.95</v>
      </c>
      <c r="E12" s="146">
        <f t="shared" si="0"/>
        <v>1</v>
      </c>
    </row>
    <row r="13" spans="2:5">
      <c r="B13" s="66" t="s">
        <v>109</v>
      </c>
      <c r="C13" s="146">
        <v>0.05</v>
      </c>
      <c r="D13" s="146">
        <v>0.95</v>
      </c>
      <c r="E13" s="146">
        <f t="shared" ref="E13:E14" si="1">C13+D13</f>
        <v>1</v>
      </c>
    </row>
    <row r="14" spans="2:5">
      <c r="B14" s="66" t="s">
        <v>110</v>
      </c>
      <c r="C14" s="146">
        <v>0.05</v>
      </c>
      <c r="D14" s="146">
        <v>0.95</v>
      </c>
      <c r="E14" s="146">
        <f t="shared" si="1"/>
        <v>1</v>
      </c>
    </row>
    <row r="16" spans="2:5">
      <c r="B16" s="144"/>
      <c r="C16" s="144"/>
      <c r="D16" s="144"/>
      <c r="E16" s="144"/>
    </row>
    <row r="17" spans="2:14">
      <c r="B17" s="145" t="s">
        <v>112</v>
      </c>
      <c r="C17" s="145">
        <v>1</v>
      </c>
      <c r="D17" s="145">
        <v>2</v>
      </c>
      <c r="E17" s="145">
        <v>3</v>
      </c>
    </row>
    <row r="18" spans="2:14">
      <c r="B18" s="70" t="s">
        <v>118</v>
      </c>
      <c r="C18" s="94">
        <v>35000</v>
      </c>
      <c r="D18" s="94">
        <f>C18*1.03</f>
        <v>36050</v>
      </c>
      <c r="E18" s="94">
        <f>D18*1.03</f>
        <v>37131.5</v>
      </c>
    </row>
    <row r="19" spans="2:14">
      <c r="B19" s="70" t="s">
        <v>50</v>
      </c>
      <c r="C19" s="94">
        <f>'Profit and Loss Statement'!E6*0.0157</f>
        <v>50895.977399999996</v>
      </c>
      <c r="D19" s="94">
        <f>'Profit and Loss Statement'!F6*0.0157</f>
        <v>61075.172879999991</v>
      </c>
      <c r="E19" s="94">
        <f>'Profit and Loss Statement'!G6*0.0157</f>
        <v>70236.448811999988</v>
      </c>
    </row>
    <row r="20" spans="2:14">
      <c r="B20" s="70" t="s">
        <v>122</v>
      </c>
      <c r="C20" s="94">
        <f>'Profit and Loss Statement'!E6*0.0152</f>
        <v>49275.0864</v>
      </c>
      <c r="D20" s="94">
        <f>'Profit and Loss Statement'!F6*0.0152</f>
        <v>59130.10368</v>
      </c>
      <c r="E20" s="94">
        <f>'Profit and Loss Statement'!G6*0.0152</f>
        <v>67999.619231999983</v>
      </c>
    </row>
    <row r="21" spans="2:14">
      <c r="B21" s="70" t="s">
        <v>49</v>
      </c>
      <c r="C21" s="94">
        <f>'Personnel - Editable'!H16*0.06</f>
        <v>43200</v>
      </c>
      <c r="D21" s="94">
        <f>'Personnel - Editable'!I16*0.06</f>
        <v>44496</v>
      </c>
      <c r="E21" s="94">
        <f>'Personnel - Editable'!J16*0.06</f>
        <v>45830.879999999997</v>
      </c>
      <c r="F21" s="119"/>
      <c r="G21" s="119"/>
    </row>
    <row r="22" spans="2:14">
      <c r="B22" s="70" t="s">
        <v>119</v>
      </c>
      <c r="C22" s="94">
        <f>'Profit and Loss Statement'!E6*0.012</f>
        <v>38901.383999999998</v>
      </c>
      <c r="D22" s="94">
        <f>'Profit and Loss Statement'!F6*0.012</f>
        <v>46681.660799999998</v>
      </c>
      <c r="E22" s="94">
        <f>'Profit and Loss Statement'!G6*0.012</f>
        <v>53683.909919999991</v>
      </c>
      <c r="F22" s="1"/>
      <c r="G22" s="1"/>
    </row>
    <row r="23" spans="2:14">
      <c r="B23" s="70" t="s">
        <v>1</v>
      </c>
      <c r="C23" s="94">
        <v>12540</v>
      </c>
      <c r="D23" s="94">
        <f>C23*1.35</f>
        <v>16929</v>
      </c>
      <c r="E23" s="94">
        <f>D23*1.35</f>
        <v>22854.15</v>
      </c>
      <c r="F23" s="1"/>
      <c r="G23" s="1"/>
    </row>
    <row r="24" spans="2:14">
      <c r="F24" s="1"/>
      <c r="G24" s="1"/>
    </row>
    <row r="25" spans="2:14">
      <c r="F25" s="1"/>
      <c r="G25" s="1"/>
    </row>
    <row r="30" spans="2:14">
      <c r="B30" s="147" t="s">
        <v>113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</row>
    <row r="31" spans="2:14">
      <c r="B31" s="149" t="s">
        <v>5</v>
      </c>
      <c r="C31" s="150">
        <v>1</v>
      </c>
      <c r="D31" s="150">
        <f>C31+1</f>
        <v>2</v>
      </c>
      <c r="E31" s="150">
        <f t="shared" ref="E31:N31" si="2">D31+1</f>
        <v>3</v>
      </c>
      <c r="F31" s="150">
        <f t="shared" si="2"/>
        <v>4</v>
      </c>
      <c r="G31" s="150">
        <f t="shared" si="2"/>
        <v>5</v>
      </c>
      <c r="H31" s="150">
        <f t="shared" si="2"/>
        <v>6</v>
      </c>
      <c r="I31" s="150">
        <f t="shared" si="2"/>
        <v>7</v>
      </c>
      <c r="J31" s="150">
        <f t="shared" si="2"/>
        <v>8</v>
      </c>
      <c r="K31" s="150">
        <f t="shared" si="2"/>
        <v>9</v>
      </c>
      <c r="L31" s="150">
        <f t="shared" si="2"/>
        <v>10</v>
      </c>
      <c r="M31" s="150">
        <f t="shared" si="2"/>
        <v>11</v>
      </c>
      <c r="N31" s="150">
        <f t="shared" si="2"/>
        <v>12</v>
      </c>
    </row>
    <row r="32" spans="2:14">
      <c r="B32" s="66" t="str">
        <f t="shared" ref="B32:B41" si="3">B5</f>
        <v>Medical Staffing Fees</v>
      </c>
      <c r="C32" s="94">
        <v>200000</v>
      </c>
      <c r="D32" s="94">
        <f>C32+20</f>
        <v>200020</v>
      </c>
      <c r="E32" s="94">
        <f t="shared" ref="E32:N32" si="4">D32+20</f>
        <v>200040</v>
      </c>
      <c r="F32" s="94">
        <f t="shared" si="4"/>
        <v>200060</v>
      </c>
      <c r="G32" s="94">
        <f t="shared" si="4"/>
        <v>200080</v>
      </c>
      <c r="H32" s="94">
        <f t="shared" si="4"/>
        <v>200100</v>
      </c>
      <c r="I32" s="94">
        <f t="shared" si="4"/>
        <v>200120</v>
      </c>
      <c r="J32" s="94">
        <f t="shared" si="4"/>
        <v>200140</v>
      </c>
      <c r="K32" s="94">
        <f t="shared" si="4"/>
        <v>200160</v>
      </c>
      <c r="L32" s="94">
        <f t="shared" si="4"/>
        <v>200180</v>
      </c>
      <c r="M32" s="94">
        <f t="shared" si="4"/>
        <v>200200</v>
      </c>
      <c r="N32" s="94">
        <f t="shared" si="4"/>
        <v>200220</v>
      </c>
    </row>
    <row r="33" spans="2:18">
      <c r="B33" s="66" t="str">
        <f>B6</f>
        <v>Placement Fees</v>
      </c>
      <c r="C33" s="94">
        <f>C32*0.35</f>
        <v>70000</v>
      </c>
      <c r="D33" s="94">
        <f t="shared" ref="D33:N33" si="5">D32*0.35</f>
        <v>70007</v>
      </c>
      <c r="E33" s="94">
        <f t="shared" si="5"/>
        <v>70014</v>
      </c>
      <c r="F33" s="94">
        <f t="shared" si="5"/>
        <v>70021</v>
      </c>
      <c r="G33" s="94">
        <f t="shared" si="5"/>
        <v>70028</v>
      </c>
      <c r="H33" s="94">
        <f t="shared" si="5"/>
        <v>70035</v>
      </c>
      <c r="I33" s="94">
        <f t="shared" si="5"/>
        <v>70042</v>
      </c>
      <c r="J33" s="94">
        <f t="shared" si="5"/>
        <v>70049</v>
      </c>
      <c r="K33" s="94">
        <f t="shared" si="5"/>
        <v>70056</v>
      </c>
      <c r="L33" s="94">
        <f t="shared" si="5"/>
        <v>70063</v>
      </c>
      <c r="M33" s="94">
        <f t="shared" si="5"/>
        <v>70070</v>
      </c>
      <c r="N33" s="94">
        <f t="shared" si="5"/>
        <v>70077</v>
      </c>
    </row>
    <row r="34" spans="2:18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2:18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2:18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18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18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18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8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8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  <row r="42" spans="2:18">
      <c r="B42" s="151" t="s">
        <v>8</v>
      </c>
      <c r="C42" s="152">
        <f>SUM(C32:C41)</f>
        <v>270000</v>
      </c>
      <c r="D42" s="152">
        <f t="shared" ref="D42:N42" si="6">SUM(D32:D41)</f>
        <v>270027</v>
      </c>
      <c r="E42" s="152">
        <f t="shared" si="6"/>
        <v>270054</v>
      </c>
      <c r="F42" s="152">
        <f t="shared" si="6"/>
        <v>270081</v>
      </c>
      <c r="G42" s="152">
        <f t="shared" si="6"/>
        <v>270108</v>
      </c>
      <c r="H42" s="152">
        <f t="shared" si="6"/>
        <v>270135</v>
      </c>
      <c r="I42" s="152">
        <f t="shared" si="6"/>
        <v>270162</v>
      </c>
      <c r="J42" s="152">
        <f t="shared" si="6"/>
        <v>270189</v>
      </c>
      <c r="K42" s="152">
        <f t="shared" si="6"/>
        <v>270216</v>
      </c>
      <c r="L42" s="152">
        <f t="shared" si="6"/>
        <v>270243</v>
      </c>
      <c r="M42" s="152">
        <f t="shared" si="6"/>
        <v>270270</v>
      </c>
      <c r="N42" s="152">
        <f t="shared" si="6"/>
        <v>270297</v>
      </c>
      <c r="R42" s="153" t="s">
        <v>135</v>
      </c>
    </row>
    <row r="44" spans="2:18">
      <c r="B44" s="144"/>
      <c r="C44" s="144"/>
    </row>
    <row r="45" spans="2:18">
      <c r="B45" s="145" t="s">
        <v>126</v>
      </c>
      <c r="C45" s="145"/>
    </row>
    <row r="46" spans="2:18">
      <c r="B46" s="66" t="s">
        <v>3</v>
      </c>
      <c r="C46" s="143">
        <v>0.2</v>
      </c>
    </row>
    <row r="47" spans="2:18">
      <c r="B47" s="66" t="s">
        <v>4</v>
      </c>
      <c r="C47" s="143">
        <v>0.15</v>
      </c>
    </row>
    <row r="49" spans="2:14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</row>
    <row r="50" spans="2:14">
      <c r="B50" s="112" t="s">
        <v>5</v>
      </c>
      <c r="C50" s="112">
        <v>1</v>
      </c>
      <c r="D50" s="112">
        <f>C50+1</f>
        <v>2</v>
      </c>
      <c r="E50" s="112">
        <f t="shared" ref="E50:N50" si="7">D50+1</f>
        <v>3</v>
      </c>
      <c r="F50" s="112">
        <f t="shared" si="7"/>
        <v>4</v>
      </c>
      <c r="G50" s="112">
        <f t="shared" si="7"/>
        <v>5</v>
      </c>
      <c r="H50" s="112">
        <f t="shared" si="7"/>
        <v>6</v>
      </c>
      <c r="I50" s="112">
        <f t="shared" si="7"/>
        <v>7</v>
      </c>
      <c r="J50" s="112">
        <f t="shared" si="7"/>
        <v>8</v>
      </c>
      <c r="K50" s="112">
        <f t="shared" si="7"/>
        <v>9</v>
      </c>
      <c r="L50" s="112">
        <f t="shared" si="7"/>
        <v>10</v>
      </c>
      <c r="M50" s="112">
        <f t="shared" si="7"/>
        <v>11</v>
      </c>
      <c r="N50" s="112">
        <f t="shared" si="7"/>
        <v>12</v>
      </c>
    </row>
    <row r="51" spans="2:14">
      <c r="B51" s="112" t="str">
        <f t="shared" ref="B51:B60" si="8">B32</f>
        <v>Medical Staffing Fees</v>
      </c>
      <c r="C51" s="114">
        <f t="shared" ref="C51:N51" si="9">C32*($C$5/$E$5)</f>
        <v>160000</v>
      </c>
      <c r="D51" s="114">
        <f t="shared" si="9"/>
        <v>160016</v>
      </c>
      <c r="E51" s="114">
        <f t="shared" si="9"/>
        <v>160032</v>
      </c>
      <c r="F51" s="114">
        <f t="shared" si="9"/>
        <v>160048</v>
      </c>
      <c r="G51" s="114">
        <f t="shared" si="9"/>
        <v>160064</v>
      </c>
      <c r="H51" s="114">
        <f t="shared" si="9"/>
        <v>160080</v>
      </c>
      <c r="I51" s="114">
        <f t="shared" si="9"/>
        <v>160096</v>
      </c>
      <c r="J51" s="114">
        <f t="shared" si="9"/>
        <v>160112</v>
      </c>
      <c r="K51" s="114">
        <f t="shared" si="9"/>
        <v>160128</v>
      </c>
      <c r="L51" s="114">
        <f t="shared" si="9"/>
        <v>160144</v>
      </c>
      <c r="M51" s="114">
        <f t="shared" si="9"/>
        <v>160160</v>
      </c>
      <c r="N51" s="114">
        <f t="shared" si="9"/>
        <v>160176</v>
      </c>
    </row>
    <row r="52" spans="2:14">
      <c r="B52" s="112" t="str">
        <f t="shared" si="8"/>
        <v>Placement Fees</v>
      </c>
      <c r="C52" s="114">
        <f t="shared" ref="C52:N52" si="10">C33*($C$6/$E$6)</f>
        <v>3500</v>
      </c>
      <c r="D52" s="114">
        <f t="shared" si="10"/>
        <v>3500.3500000000004</v>
      </c>
      <c r="E52" s="114">
        <f t="shared" si="10"/>
        <v>3500.7000000000003</v>
      </c>
      <c r="F52" s="114">
        <f t="shared" si="10"/>
        <v>3501.05</v>
      </c>
      <c r="G52" s="114">
        <f t="shared" si="10"/>
        <v>3501.4</v>
      </c>
      <c r="H52" s="114">
        <f t="shared" si="10"/>
        <v>3501.75</v>
      </c>
      <c r="I52" s="114">
        <f t="shared" si="10"/>
        <v>3502.1000000000004</v>
      </c>
      <c r="J52" s="114">
        <f t="shared" si="10"/>
        <v>3502.4500000000003</v>
      </c>
      <c r="K52" s="114">
        <f t="shared" si="10"/>
        <v>3502.8</v>
      </c>
      <c r="L52" s="114">
        <f t="shared" si="10"/>
        <v>3503.15</v>
      </c>
      <c r="M52" s="114">
        <f t="shared" si="10"/>
        <v>3503.5</v>
      </c>
      <c r="N52" s="114">
        <f t="shared" si="10"/>
        <v>3503.8500000000004</v>
      </c>
    </row>
    <row r="53" spans="2:14">
      <c r="B53" s="112" t="str">
        <f t="shared" si="8"/>
        <v>Item 3</v>
      </c>
      <c r="C53" s="114">
        <f t="shared" ref="C53:N53" si="11">C34*($C$7/$E$7)</f>
        <v>0</v>
      </c>
      <c r="D53" s="114">
        <f t="shared" si="11"/>
        <v>0</v>
      </c>
      <c r="E53" s="114">
        <f t="shared" si="11"/>
        <v>0</v>
      </c>
      <c r="F53" s="114">
        <f t="shared" si="11"/>
        <v>0</v>
      </c>
      <c r="G53" s="114">
        <f t="shared" si="11"/>
        <v>0</v>
      </c>
      <c r="H53" s="114">
        <f t="shared" si="11"/>
        <v>0</v>
      </c>
      <c r="I53" s="114">
        <f t="shared" si="11"/>
        <v>0</v>
      </c>
      <c r="J53" s="114">
        <f t="shared" si="11"/>
        <v>0</v>
      </c>
      <c r="K53" s="114">
        <f t="shared" si="11"/>
        <v>0</v>
      </c>
      <c r="L53" s="114">
        <f t="shared" si="11"/>
        <v>0</v>
      </c>
      <c r="M53" s="114">
        <f t="shared" si="11"/>
        <v>0</v>
      </c>
      <c r="N53" s="114">
        <f t="shared" si="11"/>
        <v>0</v>
      </c>
    </row>
    <row r="54" spans="2:14">
      <c r="B54" s="112" t="str">
        <f t="shared" si="8"/>
        <v>Item 4</v>
      </c>
      <c r="C54" s="114">
        <f t="shared" ref="C54:N54" si="12">C35*($C$8/$E$8)</f>
        <v>0</v>
      </c>
      <c r="D54" s="114">
        <f t="shared" si="12"/>
        <v>0</v>
      </c>
      <c r="E54" s="114">
        <f t="shared" si="12"/>
        <v>0</v>
      </c>
      <c r="F54" s="114">
        <f t="shared" si="12"/>
        <v>0</v>
      </c>
      <c r="G54" s="114">
        <f t="shared" si="12"/>
        <v>0</v>
      </c>
      <c r="H54" s="114">
        <f t="shared" si="12"/>
        <v>0</v>
      </c>
      <c r="I54" s="114">
        <f t="shared" si="12"/>
        <v>0</v>
      </c>
      <c r="J54" s="114">
        <f t="shared" si="12"/>
        <v>0</v>
      </c>
      <c r="K54" s="114">
        <f t="shared" si="12"/>
        <v>0</v>
      </c>
      <c r="L54" s="114">
        <f t="shared" si="12"/>
        <v>0</v>
      </c>
      <c r="M54" s="114">
        <f t="shared" si="12"/>
        <v>0</v>
      </c>
      <c r="N54" s="114">
        <f t="shared" si="12"/>
        <v>0</v>
      </c>
    </row>
    <row r="55" spans="2:14">
      <c r="B55" s="112" t="str">
        <f t="shared" si="8"/>
        <v>Item 5</v>
      </c>
      <c r="C55" s="114">
        <f t="shared" ref="C55:N55" si="13">C36*($C$9/$E$9)</f>
        <v>0</v>
      </c>
      <c r="D55" s="114">
        <f t="shared" si="13"/>
        <v>0</v>
      </c>
      <c r="E55" s="114">
        <f t="shared" si="13"/>
        <v>0</v>
      </c>
      <c r="F55" s="114">
        <f t="shared" si="13"/>
        <v>0</v>
      </c>
      <c r="G55" s="114">
        <f t="shared" si="13"/>
        <v>0</v>
      </c>
      <c r="H55" s="114">
        <f t="shared" si="13"/>
        <v>0</v>
      </c>
      <c r="I55" s="114">
        <f t="shared" si="13"/>
        <v>0</v>
      </c>
      <c r="J55" s="114">
        <f t="shared" si="13"/>
        <v>0</v>
      </c>
      <c r="K55" s="114">
        <f t="shared" si="13"/>
        <v>0</v>
      </c>
      <c r="L55" s="114">
        <f t="shared" si="13"/>
        <v>0</v>
      </c>
      <c r="M55" s="114">
        <f t="shared" si="13"/>
        <v>0</v>
      </c>
      <c r="N55" s="114">
        <f t="shared" si="13"/>
        <v>0</v>
      </c>
    </row>
    <row r="56" spans="2:14">
      <c r="B56" s="112" t="str">
        <f t="shared" si="8"/>
        <v>Item 6</v>
      </c>
      <c r="C56" s="114">
        <f t="shared" ref="C56:N56" si="14">C37*($C$10/$E$10)</f>
        <v>0</v>
      </c>
      <c r="D56" s="114">
        <f t="shared" si="14"/>
        <v>0</v>
      </c>
      <c r="E56" s="114">
        <f t="shared" si="14"/>
        <v>0</v>
      </c>
      <c r="F56" s="114">
        <f t="shared" si="14"/>
        <v>0</v>
      </c>
      <c r="G56" s="114">
        <f t="shared" si="14"/>
        <v>0</v>
      </c>
      <c r="H56" s="114">
        <f t="shared" si="14"/>
        <v>0</v>
      </c>
      <c r="I56" s="114">
        <f t="shared" si="14"/>
        <v>0</v>
      </c>
      <c r="J56" s="114">
        <f t="shared" si="14"/>
        <v>0</v>
      </c>
      <c r="K56" s="114">
        <f t="shared" si="14"/>
        <v>0</v>
      </c>
      <c r="L56" s="114">
        <f t="shared" si="14"/>
        <v>0</v>
      </c>
      <c r="M56" s="114">
        <f t="shared" si="14"/>
        <v>0</v>
      </c>
      <c r="N56" s="114">
        <f t="shared" si="14"/>
        <v>0</v>
      </c>
    </row>
    <row r="57" spans="2:14">
      <c r="B57" s="112" t="str">
        <f t="shared" si="8"/>
        <v>Item 7</v>
      </c>
      <c r="C57" s="114">
        <f t="shared" ref="C57:N57" si="15">C38*($C$11/$E$11)</f>
        <v>0</v>
      </c>
      <c r="D57" s="114">
        <f t="shared" si="15"/>
        <v>0</v>
      </c>
      <c r="E57" s="114">
        <f t="shared" si="15"/>
        <v>0</v>
      </c>
      <c r="F57" s="114">
        <f t="shared" si="15"/>
        <v>0</v>
      </c>
      <c r="G57" s="114">
        <f t="shared" si="15"/>
        <v>0</v>
      </c>
      <c r="H57" s="114">
        <f t="shared" si="15"/>
        <v>0</v>
      </c>
      <c r="I57" s="114">
        <f t="shared" si="15"/>
        <v>0</v>
      </c>
      <c r="J57" s="114">
        <f t="shared" si="15"/>
        <v>0</v>
      </c>
      <c r="K57" s="114">
        <f t="shared" si="15"/>
        <v>0</v>
      </c>
      <c r="L57" s="114">
        <f t="shared" si="15"/>
        <v>0</v>
      </c>
      <c r="M57" s="114">
        <f t="shared" si="15"/>
        <v>0</v>
      </c>
      <c r="N57" s="114">
        <f t="shared" si="15"/>
        <v>0</v>
      </c>
    </row>
    <row r="58" spans="2:14">
      <c r="B58" s="112" t="str">
        <f t="shared" si="8"/>
        <v>Item 8</v>
      </c>
      <c r="C58" s="114">
        <f t="shared" ref="C58:N58" si="16">C39*($C$12/$E$12)</f>
        <v>0</v>
      </c>
      <c r="D58" s="114">
        <f t="shared" si="16"/>
        <v>0</v>
      </c>
      <c r="E58" s="114">
        <f t="shared" si="16"/>
        <v>0</v>
      </c>
      <c r="F58" s="114">
        <f t="shared" si="16"/>
        <v>0</v>
      </c>
      <c r="G58" s="114">
        <f t="shared" si="16"/>
        <v>0</v>
      </c>
      <c r="H58" s="114">
        <f t="shared" si="16"/>
        <v>0</v>
      </c>
      <c r="I58" s="114">
        <f t="shared" si="16"/>
        <v>0</v>
      </c>
      <c r="J58" s="114">
        <f t="shared" si="16"/>
        <v>0</v>
      </c>
      <c r="K58" s="114">
        <f t="shared" si="16"/>
        <v>0</v>
      </c>
      <c r="L58" s="114">
        <f t="shared" si="16"/>
        <v>0</v>
      </c>
      <c r="M58" s="114">
        <f t="shared" si="16"/>
        <v>0</v>
      </c>
      <c r="N58" s="114">
        <f t="shared" si="16"/>
        <v>0</v>
      </c>
    </row>
    <row r="59" spans="2:14">
      <c r="B59" s="112" t="str">
        <f t="shared" si="8"/>
        <v>Item 9</v>
      </c>
      <c r="C59" s="114">
        <f t="shared" ref="C59:N59" si="17">C40*($C$13/$E$13)</f>
        <v>0</v>
      </c>
      <c r="D59" s="114">
        <f t="shared" si="17"/>
        <v>0</v>
      </c>
      <c r="E59" s="114">
        <f t="shared" si="17"/>
        <v>0</v>
      </c>
      <c r="F59" s="114">
        <f t="shared" si="17"/>
        <v>0</v>
      </c>
      <c r="G59" s="114">
        <f t="shared" si="17"/>
        <v>0</v>
      </c>
      <c r="H59" s="114">
        <f t="shared" si="17"/>
        <v>0</v>
      </c>
      <c r="I59" s="114">
        <f t="shared" si="17"/>
        <v>0</v>
      </c>
      <c r="J59" s="114">
        <f t="shared" si="17"/>
        <v>0</v>
      </c>
      <c r="K59" s="114">
        <f t="shared" si="17"/>
        <v>0</v>
      </c>
      <c r="L59" s="114">
        <f t="shared" si="17"/>
        <v>0</v>
      </c>
      <c r="M59" s="114">
        <f t="shared" si="17"/>
        <v>0</v>
      </c>
      <c r="N59" s="114">
        <f t="shared" si="17"/>
        <v>0</v>
      </c>
    </row>
    <row r="60" spans="2:14">
      <c r="B60" s="112" t="str">
        <f t="shared" si="8"/>
        <v>Item 10</v>
      </c>
      <c r="C60" s="114">
        <f t="shared" ref="C60:N60" si="18">C41*($C$14/$E$14)</f>
        <v>0</v>
      </c>
      <c r="D60" s="114">
        <f t="shared" si="18"/>
        <v>0</v>
      </c>
      <c r="E60" s="114">
        <f t="shared" si="18"/>
        <v>0</v>
      </c>
      <c r="F60" s="114">
        <f t="shared" si="18"/>
        <v>0</v>
      </c>
      <c r="G60" s="114">
        <f t="shared" si="18"/>
        <v>0</v>
      </c>
      <c r="H60" s="114">
        <f t="shared" si="18"/>
        <v>0</v>
      </c>
      <c r="I60" s="114">
        <f t="shared" si="18"/>
        <v>0</v>
      </c>
      <c r="J60" s="114">
        <f t="shared" si="18"/>
        <v>0</v>
      </c>
      <c r="K60" s="114">
        <f t="shared" si="18"/>
        <v>0</v>
      </c>
      <c r="L60" s="114">
        <f t="shared" si="18"/>
        <v>0</v>
      </c>
      <c r="M60" s="114">
        <f t="shared" si="18"/>
        <v>0</v>
      </c>
      <c r="N60" s="114">
        <f t="shared" si="18"/>
        <v>0</v>
      </c>
    </row>
    <row r="61" spans="2:14">
      <c r="B61" s="112" t="s">
        <v>8</v>
      </c>
      <c r="C61" s="114">
        <f>SUM(C51:C60)</f>
        <v>163500</v>
      </c>
      <c r="D61" s="114">
        <f t="shared" ref="D61:N61" si="19">SUM(D51:D60)</f>
        <v>163516.35</v>
      </c>
      <c r="E61" s="114">
        <f t="shared" si="19"/>
        <v>163532.70000000001</v>
      </c>
      <c r="F61" s="114">
        <f t="shared" si="19"/>
        <v>163549.04999999999</v>
      </c>
      <c r="G61" s="114">
        <f t="shared" si="19"/>
        <v>163565.4</v>
      </c>
      <c r="H61" s="114">
        <f t="shared" si="19"/>
        <v>163581.75</v>
      </c>
      <c r="I61" s="114">
        <f t="shared" si="19"/>
        <v>163598.1</v>
      </c>
      <c r="J61" s="114">
        <f t="shared" si="19"/>
        <v>163614.45000000001</v>
      </c>
      <c r="K61" s="114">
        <f t="shared" si="19"/>
        <v>163630.79999999999</v>
      </c>
      <c r="L61" s="114">
        <f t="shared" si="19"/>
        <v>163647.15</v>
      </c>
      <c r="M61" s="114">
        <f t="shared" si="19"/>
        <v>163663.5</v>
      </c>
      <c r="N61" s="114">
        <f t="shared" si="19"/>
        <v>163679.85</v>
      </c>
    </row>
    <row r="62" spans="2:14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4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4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0">D65+1</f>
        <v>3</v>
      </c>
      <c r="F65" s="112">
        <f t="shared" si="20"/>
        <v>4</v>
      </c>
      <c r="G65" s="112">
        <f t="shared" si="20"/>
        <v>5</v>
      </c>
      <c r="H65" s="112">
        <f t="shared" si="20"/>
        <v>6</v>
      </c>
      <c r="I65" s="112">
        <f t="shared" si="20"/>
        <v>7</v>
      </c>
      <c r="J65" s="112">
        <f t="shared" si="20"/>
        <v>8</v>
      </c>
      <c r="K65" s="112">
        <f t="shared" si="20"/>
        <v>9</v>
      </c>
      <c r="L65" s="112">
        <f t="shared" si="20"/>
        <v>10</v>
      </c>
      <c r="M65" s="112">
        <f t="shared" si="20"/>
        <v>11</v>
      </c>
      <c r="N65" s="112">
        <f t="shared" si="20"/>
        <v>12</v>
      </c>
    </row>
    <row r="66" spans="2:14">
      <c r="B66" s="112" t="s">
        <v>8</v>
      </c>
      <c r="C66" s="114">
        <f t="shared" ref="C66:N66" si="21">C42-C61</f>
        <v>106500</v>
      </c>
      <c r="D66" s="114">
        <f t="shared" si="21"/>
        <v>106510.65</v>
      </c>
      <c r="E66" s="114">
        <f t="shared" si="21"/>
        <v>106521.29999999999</v>
      </c>
      <c r="F66" s="114">
        <f t="shared" si="21"/>
        <v>106531.95000000001</v>
      </c>
      <c r="G66" s="114">
        <f t="shared" si="21"/>
        <v>106542.6</v>
      </c>
      <c r="H66" s="114">
        <f t="shared" si="21"/>
        <v>106553.25</v>
      </c>
      <c r="I66" s="114">
        <f t="shared" si="21"/>
        <v>106563.9</v>
      </c>
      <c r="J66" s="114">
        <f t="shared" si="21"/>
        <v>106574.54999999999</v>
      </c>
      <c r="K66" s="114">
        <f t="shared" si="21"/>
        <v>106585.20000000001</v>
      </c>
      <c r="L66" s="114">
        <f t="shared" si="21"/>
        <v>106595.85</v>
      </c>
      <c r="M66" s="114">
        <f t="shared" si="21"/>
        <v>106606.5</v>
      </c>
      <c r="N66" s="114">
        <f t="shared" si="21"/>
        <v>106617.15</v>
      </c>
    </row>
  </sheetData>
  <sheetProtection algorithmName="SHA-512" hashValue="+YgZ6UwT1L5X83y8OyQeh4U4EpQAZjaZNokKDmX3XmVQXaLJiZtSJUffXUtJZDX88fziV5B6cBQSltow1gy4gQ==" saltValue="7IJLCcECG6WR7TyMjY1vuw==" spinCount="100000" sheet="1" objects="1" scenarios="1" selectLockedCells="1"/>
  <hyperlinks>
    <hyperlink ref="R42" r:id="rId1" xr:uid="{65518BC7-0742-493F-A373-1F7CB67853C4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Q9" sqref="Q9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250000</v>
      </c>
      <c r="C5" s="55"/>
      <c r="D5" s="56" t="s">
        <v>36</v>
      </c>
      <c r="E5" s="59">
        <f>PMT(B6/B8,(B7*B8),-B5)</f>
        <v>2902.7119804656013</v>
      </c>
    </row>
    <row r="6" spans="1:5">
      <c r="A6" s="60" t="s">
        <v>39</v>
      </c>
      <c r="B6" s="54">
        <v>7.0000000000000007E-2</v>
      </c>
      <c r="C6" s="55"/>
      <c r="D6" s="56" t="s">
        <v>38</v>
      </c>
      <c r="E6" s="59">
        <f>SUM(D14:D600)</f>
        <v>98325.437655872171</v>
      </c>
    </row>
    <row r="7" spans="1:5">
      <c r="A7" s="60" t="s">
        <v>40</v>
      </c>
      <c r="B7" s="60">
        <v>10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2902.7119804656013</v>
      </c>
      <c r="C14" s="1">
        <f>B14-D14</f>
        <v>1444.3786471322678</v>
      </c>
      <c r="D14" s="1">
        <f>(B5*($B$6/$B$8))</f>
        <v>1458.3333333333335</v>
      </c>
      <c r="E14" s="1">
        <f>B5-C14</f>
        <v>248555.62135286772</v>
      </c>
    </row>
    <row r="15" spans="1:5">
      <c r="A15">
        <f>IF(($B$7*$B$8&gt;A14),IF(($B$7*$B$8)=A14,"",A14+1),"")</f>
        <v>2</v>
      </c>
      <c r="B15" s="1">
        <f>IF(A15="","",$B$14)</f>
        <v>2902.7119804656013</v>
      </c>
      <c r="C15" s="1">
        <f>IF(A15="","",B15-D15)</f>
        <v>1452.8041892405395</v>
      </c>
      <c r="D15" s="1">
        <f>IF(A15="","",(E14*($B$6/$B$8)))</f>
        <v>1449.9077912250618</v>
      </c>
      <c r="E15" s="1">
        <f>IF(A15="","",E14-C15)</f>
        <v>247102.81716362719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2902.7119804656013</v>
      </c>
      <c r="C16" s="1">
        <f t="shared" ref="C16:C79" si="2">IF(A16="","",B16-D16)</f>
        <v>1461.2788803444425</v>
      </c>
      <c r="D16" s="1">
        <f t="shared" ref="D16:D79" si="3">IF(A16="","",(E15*($B$6/$B$8)))</f>
        <v>1441.4331001211588</v>
      </c>
      <c r="E16" s="1">
        <f t="shared" ref="E16:E79" si="4">IF(A16="","",E15-C16)</f>
        <v>245641.53828328275</v>
      </c>
    </row>
    <row r="17" spans="1:5">
      <c r="A17">
        <f t="shared" si="0"/>
        <v>4</v>
      </c>
      <c r="B17" s="1">
        <f t="shared" si="1"/>
        <v>2902.7119804656013</v>
      </c>
      <c r="C17" s="1">
        <f t="shared" si="2"/>
        <v>1469.8030071464518</v>
      </c>
      <c r="D17" s="1">
        <f t="shared" si="3"/>
        <v>1432.9089733191495</v>
      </c>
      <c r="E17" s="1">
        <f t="shared" si="4"/>
        <v>244171.73527613629</v>
      </c>
    </row>
    <row r="18" spans="1:5">
      <c r="A18">
        <f t="shared" si="0"/>
        <v>5</v>
      </c>
      <c r="B18" s="1">
        <f t="shared" si="1"/>
        <v>2902.7119804656013</v>
      </c>
      <c r="C18" s="1">
        <f t="shared" si="2"/>
        <v>1478.3768580214728</v>
      </c>
      <c r="D18" s="1">
        <f t="shared" si="3"/>
        <v>1424.3351224441285</v>
      </c>
      <c r="E18" s="1">
        <f t="shared" si="4"/>
        <v>242693.3584181148</v>
      </c>
    </row>
    <row r="19" spans="1:5">
      <c r="A19">
        <f t="shared" si="0"/>
        <v>6</v>
      </c>
      <c r="B19" s="1">
        <f t="shared" si="1"/>
        <v>2902.7119804656013</v>
      </c>
      <c r="C19" s="1">
        <f t="shared" si="2"/>
        <v>1487.0007230265983</v>
      </c>
      <c r="D19" s="1">
        <f t="shared" si="3"/>
        <v>1415.711257439003</v>
      </c>
      <c r="E19" s="1">
        <f t="shared" si="4"/>
        <v>241206.3576950882</v>
      </c>
    </row>
    <row r="20" spans="1:5">
      <c r="A20">
        <f t="shared" si="0"/>
        <v>7</v>
      </c>
      <c r="B20" s="1">
        <f t="shared" si="1"/>
        <v>2902.7119804656013</v>
      </c>
      <c r="C20" s="1">
        <f t="shared" si="2"/>
        <v>1495.67489391092</v>
      </c>
      <c r="D20" s="1">
        <f t="shared" si="3"/>
        <v>1407.0370865546813</v>
      </c>
      <c r="E20" s="1">
        <f t="shared" si="4"/>
        <v>239710.68280117729</v>
      </c>
    </row>
    <row r="21" spans="1:5">
      <c r="A21">
        <f t="shared" si="0"/>
        <v>8</v>
      </c>
      <c r="B21" s="1">
        <f t="shared" si="1"/>
        <v>2902.7119804656013</v>
      </c>
      <c r="C21" s="1">
        <f t="shared" si="2"/>
        <v>1504.3996641254005</v>
      </c>
      <c r="D21" s="1">
        <f t="shared" si="3"/>
        <v>1398.3123163402008</v>
      </c>
      <c r="E21" s="1">
        <f t="shared" si="4"/>
        <v>238206.28313705188</v>
      </c>
    </row>
    <row r="22" spans="1:5">
      <c r="A22">
        <f t="shared" si="0"/>
        <v>9</v>
      </c>
      <c r="B22" s="1">
        <f t="shared" si="1"/>
        <v>2902.7119804656013</v>
      </c>
      <c r="C22" s="1">
        <f t="shared" si="2"/>
        <v>1513.1753288327986</v>
      </c>
      <c r="D22" s="1">
        <f t="shared" si="3"/>
        <v>1389.5366516328027</v>
      </c>
      <c r="E22" s="1">
        <f t="shared" si="4"/>
        <v>236693.10780821909</v>
      </c>
    </row>
    <row r="23" spans="1:5">
      <c r="A23">
        <f t="shared" si="0"/>
        <v>10</v>
      </c>
      <c r="B23" s="1">
        <f t="shared" si="1"/>
        <v>2902.7119804656013</v>
      </c>
      <c r="C23" s="1">
        <f t="shared" si="2"/>
        <v>1522.0021849176565</v>
      </c>
      <c r="D23" s="1">
        <f t="shared" si="3"/>
        <v>1380.7097955479449</v>
      </c>
      <c r="E23" s="1">
        <f t="shared" si="4"/>
        <v>235171.10562330144</v>
      </c>
    </row>
    <row r="24" spans="1:5">
      <c r="A24">
        <f t="shared" si="0"/>
        <v>11</v>
      </c>
      <c r="B24" s="1">
        <f t="shared" si="1"/>
        <v>2902.7119804656013</v>
      </c>
      <c r="C24" s="1">
        <f t="shared" si="2"/>
        <v>1530.8805309963429</v>
      </c>
      <c r="D24" s="1">
        <f t="shared" si="3"/>
        <v>1371.8314494692584</v>
      </c>
      <c r="E24" s="1">
        <f t="shared" si="4"/>
        <v>233640.2250923051</v>
      </c>
    </row>
    <row r="25" spans="1:5">
      <c r="A25">
        <f t="shared" si="0"/>
        <v>12</v>
      </c>
      <c r="B25" s="1">
        <f t="shared" si="1"/>
        <v>2902.7119804656013</v>
      </c>
      <c r="C25" s="1">
        <f t="shared" si="2"/>
        <v>1539.8106674271548</v>
      </c>
      <c r="D25" s="1">
        <f t="shared" si="3"/>
        <v>1362.9013130384465</v>
      </c>
      <c r="E25" s="1">
        <f t="shared" si="4"/>
        <v>232100.41442487796</v>
      </c>
    </row>
    <row r="26" spans="1:5">
      <c r="A26">
        <f t="shared" si="0"/>
        <v>13</v>
      </c>
      <c r="B26" s="1">
        <f t="shared" si="1"/>
        <v>2902.7119804656013</v>
      </c>
      <c r="C26" s="1">
        <f t="shared" si="2"/>
        <v>1548.7928963204797</v>
      </c>
      <c r="D26" s="1">
        <f t="shared" si="3"/>
        <v>1353.9190841451216</v>
      </c>
      <c r="E26" s="1">
        <f t="shared" si="4"/>
        <v>230551.62152855747</v>
      </c>
    </row>
    <row r="27" spans="1:5">
      <c r="A27">
        <f t="shared" si="0"/>
        <v>14</v>
      </c>
      <c r="B27" s="1">
        <f t="shared" si="1"/>
        <v>2902.7119804656013</v>
      </c>
      <c r="C27" s="1">
        <f t="shared" si="2"/>
        <v>1557.827521549016</v>
      </c>
      <c r="D27" s="1">
        <f t="shared" si="3"/>
        <v>1344.8844589165853</v>
      </c>
      <c r="E27" s="1">
        <f t="shared" si="4"/>
        <v>228993.79400700846</v>
      </c>
    </row>
    <row r="28" spans="1:5">
      <c r="A28">
        <f t="shared" si="0"/>
        <v>15</v>
      </c>
      <c r="B28" s="1">
        <f t="shared" si="1"/>
        <v>2902.7119804656013</v>
      </c>
      <c r="C28" s="1">
        <f t="shared" si="2"/>
        <v>1566.9148487580519</v>
      </c>
      <c r="D28" s="1">
        <f t="shared" si="3"/>
        <v>1335.7971317075494</v>
      </c>
      <c r="E28" s="1">
        <f t="shared" si="4"/>
        <v>227426.87915825041</v>
      </c>
    </row>
    <row r="29" spans="1:5">
      <c r="A29">
        <f t="shared" si="0"/>
        <v>16</v>
      </c>
      <c r="B29" s="1">
        <f t="shared" si="1"/>
        <v>2902.7119804656013</v>
      </c>
      <c r="C29" s="1">
        <f t="shared" si="2"/>
        <v>1576.0551853758072</v>
      </c>
      <c r="D29" s="1">
        <f t="shared" si="3"/>
        <v>1326.6567950897941</v>
      </c>
      <c r="E29" s="1">
        <f t="shared" si="4"/>
        <v>225850.82397287461</v>
      </c>
    </row>
    <row r="30" spans="1:5">
      <c r="A30">
        <f t="shared" si="0"/>
        <v>17</v>
      </c>
      <c r="B30" s="1">
        <f t="shared" si="1"/>
        <v>2902.7119804656013</v>
      </c>
      <c r="C30" s="1">
        <f t="shared" si="2"/>
        <v>1585.2488406238326</v>
      </c>
      <c r="D30" s="1">
        <f t="shared" si="3"/>
        <v>1317.4631398417687</v>
      </c>
      <c r="E30" s="1">
        <f t="shared" si="4"/>
        <v>224265.57513225079</v>
      </c>
    </row>
    <row r="31" spans="1:5">
      <c r="A31">
        <f t="shared" si="0"/>
        <v>18</v>
      </c>
      <c r="B31" s="1">
        <f t="shared" si="1"/>
        <v>2902.7119804656013</v>
      </c>
      <c r="C31" s="1">
        <f t="shared" si="2"/>
        <v>1594.4961255274716</v>
      </c>
      <c r="D31" s="1">
        <f t="shared" si="3"/>
        <v>1308.2158549381297</v>
      </c>
      <c r="E31" s="1">
        <f t="shared" si="4"/>
        <v>222671.0790067233</v>
      </c>
    </row>
    <row r="32" spans="1:5">
      <c r="A32">
        <f t="shared" si="0"/>
        <v>19</v>
      </c>
      <c r="B32" s="1">
        <f t="shared" si="1"/>
        <v>2902.7119804656013</v>
      </c>
      <c r="C32" s="1">
        <f t="shared" si="2"/>
        <v>1603.797352926382</v>
      </c>
      <c r="D32" s="1">
        <f t="shared" si="3"/>
        <v>1298.9146275392193</v>
      </c>
      <c r="E32" s="1">
        <f t="shared" si="4"/>
        <v>221067.28165379693</v>
      </c>
    </row>
    <row r="33" spans="1:5">
      <c r="A33">
        <f t="shared" si="0"/>
        <v>20</v>
      </c>
      <c r="B33" s="1">
        <f t="shared" si="1"/>
        <v>2902.7119804656013</v>
      </c>
      <c r="C33" s="1">
        <f t="shared" si="2"/>
        <v>1613.1528374851191</v>
      </c>
      <c r="D33" s="1">
        <f t="shared" si="3"/>
        <v>1289.5591429804822</v>
      </c>
      <c r="E33" s="1">
        <f t="shared" si="4"/>
        <v>219454.1288163118</v>
      </c>
    </row>
    <row r="34" spans="1:5">
      <c r="A34">
        <f t="shared" si="0"/>
        <v>21</v>
      </c>
      <c r="B34" s="1">
        <f t="shared" si="1"/>
        <v>2902.7119804656013</v>
      </c>
      <c r="C34" s="1">
        <f t="shared" si="2"/>
        <v>1622.5628957037825</v>
      </c>
      <c r="D34" s="1">
        <f t="shared" si="3"/>
        <v>1280.1490847618188</v>
      </c>
      <c r="E34" s="1">
        <f t="shared" si="4"/>
        <v>217831.56592060803</v>
      </c>
    </row>
    <row r="35" spans="1:5">
      <c r="A35">
        <f t="shared" si="0"/>
        <v>22</v>
      </c>
      <c r="B35" s="1">
        <f t="shared" si="1"/>
        <v>2902.7119804656013</v>
      </c>
      <c r="C35" s="1">
        <f t="shared" si="2"/>
        <v>1632.027845928721</v>
      </c>
      <c r="D35" s="1">
        <f t="shared" si="3"/>
        <v>1270.6841345368803</v>
      </c>
      <c r="E35" s="1">
        <f t="shared" si="4"/>
        <v>216199.53807467932</v>
      </c>
    </row>
    <row r="36" spans="1:5">
      <c r="A36">
        <f t="shared" si="0"/>
        <v>23</v>
      </c>
      <c r="B36" s="1">
        <f t="shared" si="1"/>
        <v>2902.7119804656013</v>
      </c>
      <c r="C36" s="1">
        <f t="shared" si="2"/>
        <v>1641.5480083633051</v>
      </c>
      <c r="D36" s="1">
        <f t="shared" si="3"/>
        <v>1261.1639721022962</v>
      </c>
      <c r="E36" s="1">
        <f t="shared" si="4"/>
        <v>214557.99006631601</v>
      </c>
    </row>
    <row r="37" spans="1:5">
      <c r="A37">
        <f t="shared" si="0"/>
        <v>24</v>
      </c>
      <c r="B37" s="1">
        <f t="shared" si="1"/>
        <v>2902.7119804656013</v>
      </c>
      <c r="C37" s="1">
        <f t="shared" si="2"/>
        <v>1651.1237050787579</v>
      </c>
      <c r="D37" s="1">
        <f t="shared" si="3"/>
        <v>1251.5882753868434</v>
      </c>
      <c r="E37" s="1">
        <f t="shared" si="4"/>
        <v>212906.86636123725</v>
      </c>
    </row>
    <row r="38" spans="1:5">
      <c r="A38">
        <f t="shared" si="0"/>
        <v>25</v>
      </c>
      <c r="B38" s="1">
        <f t="shared" si="1"/>
        <v>2902.7119804656013</v>
      </c>
      <c r="C38" s="1">
        <f t="shared" si="2"/>
        <v>1660.7552600250506</v>
      </c>
      <c r="D38" s="1">
        <f t="shared" si="3"/>
        <v>1241.9567204405507</v>
      </c>
      <c r="E38" s="1">
        <f t="shared" si="4"/>
        <v>211246.11110121218</v>
      </c>
    </row>
    <row r="39" spans="1:5">
      <c r="A39">
        <f t="shared" si="0"/>
        <v>26</v>
      </c>
      <c r="B39" s="1">
        <f t="shared" si="1"/>
        <v>2902.7119804656013</v>
      </c>
      <c r="C39" s="1">
        <f t="shared" si="2"/>
        <v>1670.4429990418635</v>
      </c>
      <c r="D39" s="1">
        <f t="shared" si="3"/>
        <v>1232.2689814237378</v>
      </c>
      <c r="E39" s="1">
        <f t="shared" si="4"/>
        <v>209575.66810217031</v>
      </c>
    </row>
    <row r="40" spans="1:5">
      <c r="A40">
        <f t="shared" si="0"/>
        <v>27</v>
      </c>
      <c r="B40" s="1">
        <f t="shared" si="1"/>
        <v>2902.7119804656013</v>
      </c>
      <c r="C40" s="1">
        <f t="shared" si="2"/>
        <v>1680.1872498696077</v>
      </c>
      <c r="D40" s="1">
        <f t="shared" si="3"/>
        <v>1222.5247305959936</v>
      </c>
      <c r="E40" s="1">
        <f t="shared" si="4"/>
        <v>207895.48085230071</v>
      </c>
    </row>
    <row r="41" spans="1:5">
      <c r="A41">
        <f t="shared" si="0"/>
        <v>28</v>
      </c>
      <c r="B41" s="1">
        <f t="shared" si="1"/>
        <v>2902.7119804656013</v>
      </c>
      <c r="C41" s="1">
        <f t="shared" si="2"/>
        <v>1689.9883421605139</v>
      </c>
      <c r="D41" s="1">
        <f t="shared" si="3"/>
        <v>1212.7236383050874</v>
      </c>
      <c r="E41" s="1">
        <f t="shared" si="4"/>
        <v>206205.4925101402</v>
      </c>
    </row>
    <row r="42" spans="1:5">
      <c r="A42">
        <f t="shared" si="0"/>
        <v>29</v>
      </c>
      <c r="B42" s="1">
        <f t="shared" si="1"/>
        <v>2902.7119804656013</v>
      </c>
      <c r="C42" s="1">
        <f t="shared" si="2"/>
        <v>1699.8466074897833</v>
      </c>
      <c r="D42" s="1">
        <f t="shared" si="3"/>
        <v>1202.865372975818</v>
      </c>
      <c r="E42" s="1">
        <f t="shared" si="4"/>
        <v>204505.64590265043</v>
      </c>
    </row>
    <row r="43" spans="1:5">
      <c r="A43">
        <f t="shared" si="0"/>
        <v>30</v>
      </c>
      <c r="B43" s="1">
        <f t="shared" si="1"/>
        <v>2902.7119804656013</v>
      </c>
      <c r="C43" s="1">
        <f t="shared" si="2"/>
        <v>1709.762379366807</v>
      </c>
      <c r="D43" s="1">
        <f t="shared" si="3"/>
        <v>1192.9496010987943</v>
      </c>
      <c r="E43" s="1">
        <f t="shared" si="4"/>
        <v>202795.88352328361</v>
      </c>
    </row>
    <row r="44" spans="1:5">
      <c r="A44">
        <f t="shared" si="0"/>
        <v>31</v>
      </c>
      <c r="B44" s="1">
        <f t="shared" si="1"/>
        <v>2902.7119804656013</v>
      </c>
      <c r="C44" s="1">
        <f t="shared" si="2"/>
        <v>1719.7359932464469</v>
      </c>
      <c r="D44" s="1">
        <f t="shared" si="3"/>
        <v>1182.9759872191544</v>
      </c>
      <c r="E44" s="1">
        <f t="shared" si="4"/>
        <v>201076.14753003715</v>
      </c>
    </row>
    <row r="45" spans="1:5">
      <c r="A45">
        <f t="shared" si="0"/>
        <v>32</v>
      </c>
      <c r="B45" s="1">
        <f t="shared" si="1"/>
        <v>2902.7119804656013</v>
      </c>
      <c r="C45" s="1">
        <f t="shared" si="2"/>
        <v>1729.7677865403846</v>
      </c>
      <c r="D45" s="1">
        <f t="shared" si="3"/>
        <v>1172.9441939252167</v>
      </c>
      <c r="E45" s="1">
        <f t="shared" si="4"/>
        <v>199346.37974349677</v>
      </c>
    </row>
    <row r="46" spans="1:5">
      <c r="A46">
        <f t="shared" si="0"/>
        <v>33</v>
      </c>
      <c r="B46" s="1">
        <f t="shared" si="1"/>
        <v>2902.7119804656013</v>
      </c>
      <c r="C46" s="1">
        <f t="shared" si="2"/>
        <v>1739.8580986285367</v>
      </c>
      <c r="D46" s="1">
        <f t="shared" si="3"/>
        <v>1162.8538818370646</v>
      </c>
      <c r="E46" s="1">
        <f t="shared" si="4"/>
        <v>197606.52164486825</v>
      </c>
    </row>
    <row r="47" spans="1:5">
      <c r="A47">
        <f t="shared" si="0"/>
        <v>34</v>
      </c>
      <c r="B47" s="1">
        <f t="shared" si="1"/>
        <v>2902.7119804656013</v>
      </c>
      <c r="C47" s="1">
        <f t="shared" si="2"/>
        <v>1750.0072708705366</v>
      </c>
      <c r="D47" s="1">
        <f t="shared" si="3"/>
        <v>1152.7047095950647</v>
      </c>
      <c r="E47" s="1">
        <f t="shared" si="4"/>
        <v>195856.51437399772</v>
      </c>
    </row>
    <row r="48" spans="1:5">
      <c r="A48">
        <f t="shared" si="0"/>
        <v>35</v>
      </c>
      <c r="B48" s="1">
        <f t="shared" si="1"/>
        <v>2902.7119804656013</v>
      </c>
      <c r="C48" s="1">
        <f t="shared" si="2"/>
        <v>1760.2156466172812</v>
      </c>
      <c r="D48" s="1">
        <f t="shared" si="3"/>
        <v>1142.4963338483201</v>
      </c>
      <c r="E48" s="1">
        <f t="shared" si="4"/>
        <v>194096.29872738043</v>
      </c>
    </row>
    <row r="49" spans="1:5">
      <c r="A49">
        <f t="shared" si="0"/>
        <v>36</v>
      </c>
      <c r="B49" s="1">
        <f t="shared" si="1"/>
        <v>2902.7119804656013</v>
      </c>
      <c r="C49" s="1">
        <f t="shared" si="2"/>
        <v>1770.4835712225488</v>
      </c>
      <c r="D49" s="1">
        <f t="shared" si="3"/>
        <v>1132.2284092430525</v>
      </c>
      <c r="E49" s="1">
        <f t="shared" si="4"/>
        <v>192325.81515615789</v>
      </c>
    </row>
    <row r="50" spans="1:5">
      <c r="A50">
        <f t="shared" si="0"/>
        <v>37</v>
      </c>
      <c r="B50" s="1">
        <f t="shared" si="1"/>
        <v>2902.7119804656013</v>
      </c>
      <c r="C50" s="1">
        <f t="shared" si="2"/>
        <v>1780.8113920546803</v>
      </c>
      <c r="D50" s="1">
        <f t="shared" si="3"/>
        <v>1121.900588410921</v>
      </c>
      <c r="E50" s="1">
        <f t="shared" si="4"/>
        <v>190545.0037641032</v>
      </c>
    </row>
    <row r="51" spans="1:5">
      <c r="A51">
        <f t="shared" si="0"/>
        <v>38</v>
      </c>
      <c r="B51" s="1">
        <f t="shared" si="1"/>
        <v>2902.7119804656013</v>
      </c>
      <c r="C51" s="1">
        <f t="shared" si="2"/>
        <v>1791.1994585083326</v>
      </c>
      <c r="D51" s="1">
        <f t="shared" si="3"/>
        <v>1111.5125219572687</v>
      </c>
      <c r="E51" s="1">
        <f t="shared" si="4"/>
        <v>188753.80430559485</v>
      </c>
    </row>
    <row r="52" spans="1:5">
      <c r="A52">
        <f t="shared" si="0"/>
        <v>39</v>
      </c>
      <c r="B52" s="1">
        <f t="shared" si="1"/>
        <v>2902.7119804656013</v>
      </c>
      <c r="C52" s="1">
        <f t="shared" si="2"/>
        <v>1801.648122016298</v>
      </c>
      <c r="D52" s="1">
        <f t="shared" si="3"/>
        <v>1101.0638584493033</v>
      </c>
      <c r="E52" s="1">
        <f t="shared" si="4"/>
        <v>186952.15618357854</v>
      </c>
    </row>
    <row r="53" spans="1:5">
      <c r="A53">
        <f t="shared" si="0"/>
        <v>40</v>
      </c>
      <c r="B53" s="1">
        <f t="shared" si="1"/>
        <v>2902.7119804656013</v>
      </c>
      <c r="C53" s="1">
        <f t="shared" si="2"/>
        <v>1812.1577360613931</v>
      </c>
      <c r="D53" s="1">
        <f t="shared" si="3"/>
        <v>1090.5542444042082</v>
      </c>
      <c r="E53" s="1">
        <f t="shared" si="4"/>
        <v>185139.99844751714</v>
      </c>
    </row>
    <row r="54" spans="1:5">
      <c r="A54">
        <f t="shared" si="0"/>
        <v>41</v>
      </c>
      <c r="B54" s="1">
        <f t="shared" si="1"/>
        <v>2902.7119804656013</v>
      </c>
      <c r="C54" s="1">
        <f t="shared" si="2"/>
        <v>1822.728656188418</v>
      </c>
      <c r="D54" s="1">
        <f t="shared" si="3"/>
        <v>1079.9833242771833</v>
      </c>
      <c r="E54" s="1">
        <f t="shared" si="4"/>
        <v>183317.26979132873</v>
      </c>
    </row>
    <row r="55" spans="1:5">
      <c r="A55">
        <f t="shared" si="0"/>
        <v>42</v>
      </c>
      <c r="B55" s="1">
        <f t="shared" si="1"/>
        <v>2902.7119804656013</v>
      </c>
      <c r="C55" s="1">
        <f t="shared" si="2"/>
        <v>1833.3612400161837</v>
      </c>
      <c r="D55" s="1">
        <f t="shared" si="3"/>
        <v>1069.3507404494176</v>
      </c>
      <c r="E55" s="1">
        <f t="shared" si="4"/>
        <v>181483.90855131255</v>
      </c>
    </row>
    <row r="56" spans="1:5">
      <c r="A56">
        <f t="shared" si="0"/>
        <v>43</v>
      </c>
      <c r="B56" s="1">
        <f t="shared" si="1"/>
        <v>2902.7119804656013</v>
      </c>
      <c r="C56" s="1">
        <f t="shared" si="2"/>
        <v>1844.0558472496114</v>
      </c>
      <c r="D56" s="1">
        <f t="shared" si="3"/>
        <v>1058.6561332159899</v>
      </c>
      <c r="E56" s="1">
        <f t="shared" si="4"/>
        <v>179639.85270406294</v>
      </c>
    </row>
    <row r="57" spans="1:5">
      <c r="A57">
        <f t="shared" si="0"/>
        <v>44</v>
      </c>
      <c r="B57" s="1">
        <f t="shared" si="1"/>
        <v>2902.7119804656013</v>
      </c>
      <c r="C57" s="1">
        <f t="shared" si="2"/>
        <v>1854.8128396919008</v>
      </c>
      <c r="D57" s="1">
        <f t="shared" si="3"/>
        <v>1047.8991407737005</v>
      </c>
      <c r="E57" s="1">
        <f t="shared" si="4"/>
        <v>177785.03986437104</v>
      </c>
    </row>
    <row r="58" spans="1:5">
      <c r="A58">
        <f t="shared" si="0"/>
        <v>45</v>
      </c>
      <c r="B58" s="1">
        <f t="shared" si="1"/>
        <v>2902.7119804656013</v>
      </c>
      <c r="C58" s="1">
        <f t="shared" si="2"/>
        <v>1865.6325812567702</v>
      </c>
      <c r="D58" s="1">
        <f t="shared" si="3"/>
        <v>1037.0793992088311</v>
      </c>
      <c r="E58" s="1">
        <f t="shared" si="4"/>
        <v>175919.40728311427</v>
      </c>
    </row>
    <row r="59" spans="1:5">
      <c r="A59">
        <f t="shared" si="0"/>
        <v>46</v>
      </c>
      <c r="B59" s="1">
        <f t="shared" si="1"/>
        <v>2902.7119804656013</v>
      </c>
      <c r="C59" s="1">
        <f t="shared" si="2"/>
        <v>1876.515437980768</v>
      </c>
      <c r="D59" s="1">
        <f t="shared" si="3"/>
        <v>1026.1965424848333</v>
      </c>
      <c r="E59" s="1">
        <f t="shared" si="4"/>
        <v>174042.8918451335</v>
      </c>
    </row>
    <row r="60" spans="1:5">
      <c r="A60">
        <f t="shared" si="0"/>
        <v>47</v>
      </c>
      <c r="B60" s="1">
        <f t="shared" si="1"/>
        <v>2902.7119804656013</v>
      </c>
      <c r="C60" s="1">
        <f t="shared" si="2"/>
        <v>1887.4617780356557</v>
      </c>
      <c r="D60" s="1">
        <f t="shared" si="3"/>
        <v>1015.2502024299455</v>
      </c>
      <c r="E60" s="1">
        <f t="shared" si="4"/>
        <v>172155.43006709786</v>
      </c>
    </row>
    <row r="61" spans="1:5">
      <c r="A61">
        <f t="shared" si="0"/>
        <v>48</v>
      </c>
      <c r="B61" s="1">
        <f t="shared" si="1"/>
        <v>2902.7119804656013</v>
      </c>
      <c r="C61" s="1">
        <f t="shared" si="2"/>
        <v>1898.4719717408639</v>
      </c>
      <c r="D61" s="1">
        <f t="shared" si="3"/>
        <v>1004.2400087247375</v>
      </c>
      <c r="E61" s="1">
        <f t="shared" si="4"/>
        <v>170256.958095357</v>
      </c>
    </row>
    <row r="62" spans="1:5">
      <c r="A62">
        <f t="shared" si="0"/>
        <v>49</v>
      </c>
      <c r="B62" s="1">
        <f t="shared" si="1"/>
        <v>2902.7119804656013</v>
      </c>
      <c r="C62" s="1">
        <f t="shared" si="2"/>
        <v>1909.5463915760188</v>
      </c>
      <c r="D62" s="1">
        <f t="shared" si="3"/>
        <v>993.16558888958252</v>
      </c>
      <c r="E62" s="1">
        <f t="shared" si="4"/>
        <v>168347.41170378099</v>
      </c>
    </row>
    <row r="63" spans="1:5">
      <c r="A63">
        <f t="shared" si="0"/>
        <v>50</v>
      </c>
      <c r="B63" s="1">
        <f t="shared" si="1"/>
        <v>2902.7119804656013</v>
      </c>
      <c r="C63" s="1">
        <f t="shared" si="2"/>
        <v>1920.6854121935455</v>
      </c>
      <c r="D63" s="1">
        <f t="shared" si="3"/>
        <v>982.02656827205578</v>
      </c>
      <c r="E63" s="1">
        <f t="shared" si="4"/>
        <v>166426.72629158746</v>
      </c>
    </row>
    <row r="64" spans="1:5">
      <c r="A64">
        <f t="shared" si="0"/>
        <v>51</v>
      </c>
      <c r="B64" s="1">
        <f t="shared" si="1"/>
        <v>2902.7119804656013</v>
      </c>
      <c r="C64" s="1">
        <f t="shared" si="2"/>
        <v>1931.889410431341</v>
      </c>
      <c r="D64" s="1">
        <f t="shared" si="3"/>
        <v>970.82257003426025</v>
      </c>
      <c r="E64" s="1">
        <f t="shared" si="4"/>
        <v>164494.83688115611</v>
      </c>
    </row>
    <row r="65" spans="1:5">
      <c r="A65">
        <f t="shared" si="0"/>
        <v>52</v>
      </c>
      <c r="B65" s="1">
        <f t="shared" si="1"/>
        <v>2902.7119804656013</v>
      </c>
      <c r="C65" s="1">
        <f t="shared" si="2"/>
        <v>1943.158765325524</v>
      </c>
      <c r="D65" s="1">
        <f t="shared" si="3"/>
        <v>959.55321514007733</v>
      </c>
      <c r="E65" s="1">
        <f t="shared" si="4"/>
        <v>162551.67811583058</v>
      </c>
    </row>
    <row r="66" spans="1:5">
      <c r="A66">
        <f t="shared" si="0"/>
        <v>53</v>
      </c>
      <c r="B66" s="1">
        <f t="shared" si="1"/>
        <v>2902.7119804656013</v>
      </c>
      <c r="C66" s="1">
        <f t="shared" si="2"/>
        <v>1954.4938581232564</v>
      </c>
      <c r="D66" s="1">
        <f t="shared" si="3"/>
        <v>948.21812234234505</v>
      </c>
      <c r="E66" s="1">
        <f t="shared" si="4"/>
        <v>160597.18425770733</v>
      </c>
    </row>
    <row r="67" spans="1:5">
      <c r="A67">
        <f t="shared" si="0"/>
        <v>54</v>
      </c>
      <c r="B67" s="1">
        <f t="shared" si="1"/>
        <v>2902.7119804656013</v>
      </c>
      <c r="C67" s="1">
        <f t="shared" si="2"/>
        <v>1965.895072295642</v>
      </c>
      <c r="D67" s="1">
        <f t="shared" si="3"/>
        <v>936.81690816995945</v>
      </c>
      <c r="E67" s="1">
        <f t="shared" si="4"/>
        <v>158631.28918541168</v>
      </c>
    </row>
    <row r="68" spans="1:5">
      <c r="A68">
        <f t="shared" si="0"/>
        <v>55</v>
      </c>
      <c r="B68" s="1">
        <f t="shared" si="1"/>
        <v>2902.7119804656013</v>
      </c>
      <c r="C68" s="1">
        <f t="shared" si="2"/>
        <v>1977.3627935506997</v>
      </c>
      <c r="D68" s="1">
        <f t="shared" si="3"/>
        <v>925.34918691490145</v>
      </c>
      <c r="E68" s="1">
        <f t="shared" si="4"/>
        <v>156653.92639186096</v>
      </c>
    </row>
    <row r="69" spans="1:5">
      <c r="A69">
        <f t="shared" si="0"/>
        <v>56</v>
      </c>
      <c r="B69" s="1">
        <f t="shared" si="1"/>
        <v>2902.7119804656013</v>
      </c>
      <c r="C69" s="1">
        <f t="shared" si="2"/>
        <v>1988.8974098464123</v>
      </c>
      <c r="D69" s="1">
        <f t="shared" si="3"/>
        <v>913.814570619189</v>
      </c>
      <c r="E69" s="1">
        <f t="shared" si="4"/>
        <v>154665.02898201454</v>
      </c>
    </row>
    <row r="70" spans="1:5">
      <c r="A70">
        <f t="shared" si="0"/>
        <v>57</v>
      </c>
      <c r="B70" s="1">
        <f t="shared" si="1"/>
        <v>2902.7119804656013</v>
      </c>
      <c r="C70" s="1">
        <f t="shared" si="2"/>
        <v>2000.4993114038498</v>
      </c>
      <c r="D70" s="1">
        <f t="shared" si="3"/>
        <v>902.21266906175151</v>
      </c>
      <c r="E70" s="1">
        <f t="shared" si="4"/>
        <v>152664.5296706107</v>
      </c>
    </row>
    <row r="71" spans="1:5">
      <c r="A71">
        <f t="shared" si="0"/>
        <v>58</v>
      </c>
      <c r="B71" s="1">
        <f t="shared" si="1"/>
        <v>2902.7119804656013</v>
      </c>
      <c r="C71" s="1">
        <f t="shared" si="2"/>
        <v>2012.168890720372</v>
      </c>
      <c r="D71" s="1">
        <f t="shared" si="3"/>
        <v>890.54308974522917</v>
      </c>
      <c r="E71" s="1">
        <f t="shared" si="4"/>
        <v>150652.36077989032</v>
      </c>
    </row>
    <row r="72" spans="1:5">
      <c r="A72">
        <f t="shared" si="0"/>
        <v>59</v>
      </c>
      <c r="B72" s="1">
        <f t="shared" si="1"/>
        <v>2902.7119804656013</v>
      </c>
      <c r="C72" s="1">
        <f t="shared" si="2"/>
        <v>2023.9065425829076</v>
      </c>
      <c r="D72" s="1">
        <f t="shared" si="3"/>
        <v>878.80543788269358</v>
      </c>
      <c r="E72" s="1">
        <f t="shared" si="4"/>
        <v>148628.45423730742</v>
      </c>
    </row>
    <row r="73" spans="1:5">
      <c r="A73">
        <f t="shared" si="0"/>
        <v>60</v>
      </c>
      <c r="B73" s="1">
        <f t="shared" si="1"/>
        <v>2902.7119804656013</v>
      </c>
      <c r="C73" s="1">
        <f t="shared" si="2"/>
        <v>2035.712664081308</v>
      </c>
      <c r="D73" s="1">
        <f t="shared" si="3"/>
        <v>866.99931638429337</v>
      </c>
      <c r="E73" s="1">
        <f t="shared" si="4"/>
        <v>146592.74157322611</v>
      </c>
    </row>
    <row r="74" spans="1:5">
      <c r="A74">
        <f t="shared" si="0"/>
        <v>61</v>
      </c>
      <c r="B74" s="1">
        <f t="shared" si="1"/>
        <v>2902.7119804656013</v>
      </c>
      <c r="C74" s="1">
        <f t="shared" si="2"/>
        <v>2047.5876546217823</v>
      </c>
      <c r="D74" s="1">
        <f t="shared" si="3"/>
        <v>855.12432584381907</v>
      </c>
      <c r="E74" s="1">
        <f t="shared" si="4"/>
        <v>144545.15391860434</v>
      </c>
    </row>
    <row r="75" spans="1:5">
      <c r="A75">
        <f t="shared" si="0"/>
        <v>62</v>
      </c>
      <c r="B75" s="1">
        <f t="shared" si="1"/>
        <v>2902.7119804656013</v>
      </c>
      <c r="C75" s="1">
        <f t="shared" si="2"/>
        <v>2059.5319159404094</v>
      </c>
      <c r="D75" s="1">
        <f t="shared" si="3"/>
        <v>843.18006452519205</v>
      </c>
      <c r="E75" s="1">
        <f t="shared" si="4"/>
        <v>142485.62200266393</v>
      </c>
    </row>
    <row r="76" spans="1:5">
      <c r="A76">
        <f t="shared" si="0"/>
        <v>63</v>
      </c>
      <c r="B76" s="1">
        <f t="shared" si="1"/>
        <v>2902.7119804656013</v>
      </c>
      <c r="C76" s="1">
        <f t="shared" si="2"/>
        <v>2071.5458521167284</v>
      </c>
      <c r="D76" s="1">
        <f t="shared" si="3"/>
        <v>831.16612834887303</v>
      </c>
      <c r="E76" s="1">
        <f t="shared" si="4"/>
        <v>140414.07615054722</v>
      </c>
    </row>
    <row r="77" spans="1:5">
      <c r="A77">
        <f t="shared" si="0"/>
        <v>64</v>
      </c>
      <c r="B77" s="1">
        <f t="shared" si="1"/>
        <v>2902.7119804656013</v>
      </c>
      <c r="C77" s="1">
        <f t="shared" si="2"/>
        <v>2083.6298695874093</v>
      </c>
      <c r="D77" s="1">
        <f t="shared" si="3"/>
        <v>819.08211087819211</v>
      </c>
      <c r="E77" s="1">
        <f t="shared" si="4"/>
        <v>138330.44628095982</v>
      </c>
    </row>
    <row r="78" spans="1:5">
      <c r="A78">
        <f t="shared" si="0"/>
        <v>65</v>
      </c>
      <c r="B78" s="1">
        <f t="shared" si="1"/>
        <v>2902.7119804656013</v>
      </c>
      <c r="C78" s="1">
        <f t="shared" si="2"/>
        <v>2095.7843771600024</v>
      </c>
      <c r="D78" s="1">
        <f t="shared" si="3"/>
        <v>806.92760330559895</v>
      </c>
      <c r="E78" s="1">
        <f t="shared" si="4"/>
        <v>136234.6619037998</v>
      </c>
    </row>
    <row r="79" spans="1:5">
      <c r="A79">
        <f t="shared" si="0"/>
        <v>66</v>
      </c>
      <c r="B79" s="1">
        <f t="shared" si="1"/>
        <v>2902.7119804656013</v>
      </c>
      <c r="C79" s="1">
        <f t="shared" si="2"/>
        <v>2108.0097860267692</v>
      </c>
      <c r="D79" s="1">
        <f t="shared" si="3"/>
        <v>794.70219443883218</v>
      </c>
      <c r="E79" s="1">
        <f t="shared" si="4"/>
        <v>134126.65211777305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2902.7119804656013</v>
      </c>
      <c r="C80" s="1">
        <f t="shared" ref="C80:C143" si="7">IF(A80="","",B80-D80)</f>
        <v>2120.306509778592</v>
      </c>
      <c r="D80" s="1">
        <f t="shared" ref="D80:D143" si="8">IF(A80="","",(E79*($B$6/$B$8)))</f>
        <v>782.40547068700948</v>
      </c>
      <c r="E80" s="1">
        <f t="shared" ref="E80:E143" si="9">IF(A80="","",E79-C80)</f>
        <v>132006.34560799444</v>
      </c>
    </row>
    <row r="81" spans="1:5">
      <c r="A81">
        <f t="shared" si="5"/>
        <v>68</v>
      </c>
      <c r="B81" s="1">
        <f t="shared" si="6"/>
        <v>2902.7119804656013</v>
      </c>
      <c r="C81" s="1">
        <f t="shared" si="7"/>
        <v>2132.6749644189667</v>
      </c>
      <c r="D81" s="1">
        <f t="shared" si="8"/>
        <v>770.03701604663433</v>
      </c>
      <c r="E81" s="1">
        <f t="shared" si="9"/>
        <v>129873.67064357547</v>
      </c>
    </row>
    <row r="82" spans="1:5">
      <c r="A82">
        <f t="shared" si="5"/>
        <v>69</v>
      </c>
      <c r="B82" s="1">
        <f t="shared" si="6"/>
        <v>2902.7119804656013</v>
      </c>
      <c r="C82" s="1">
        <f t="shared" si="7"/>
        <v>2145.1155683780776</v>
      </c>
      <c r="D82" s="1">
        <f t="shared" si="8"/>
        <v>757.59641208752362</v>
      </c>
      <c r="E82" s="1">
        <f t="shared" si="9"/>
        <v>127728.55507519739</v>
      </c>
    </row>
    <row r="83" spans="1:5">
      <c r="A83">
        <f t="shared" si="5"/>
        <v>70</v>
      </c>
      <c r="B83" s="1">
        <f t="shared" si="6"/>
        <v>2902.7119804656013</v>
      </c>
      <c r="C83" s="1">
        <f t="shared" si="7"/>
        <v>2157.6287425269497</v>
      </c>
      <c r="D83" s="1">
        <f t="shared" si="8"/>
        <v>745.08323793865145</v>
      </c>
      <c r="E83" s="1">
        <f t="shared" si="9"/>
        <v>125570.92633267044</v>
      </c>
    </row>
    <row r="84" spans="1:5">
      <c r="A84">
        <f t="shared" si="5"/>
        <v>71</v>
      </c>
      <c r="B84" s="1">
        <f t="shared" si="6"/>
        <v>2902.7119804656013</v>
      </c>
      <c r="C84" s="1">
        <f t="shared" si="7"/>
        <v>2170.2149101916903</v>
      </c>
      <c r="D84" s="1">
        <f t="shared" si="8"/>
        <v>732.49707027391094</v>
      </c>
      <c r="E84" s="1">
        <f t="shared" si="9"/>
        <v>123400.71142247875</v>
      </c>
    </row>
    <row r="85" spans="1:5">
      <c r="A85">
        <f t="shared" si="5"/>
        <v>72</v>
      </c>
      <c r="B85" s="1">
        <f t="shared" si="6"/>
        <v>2902.7119804656013</v>
      </c>
      <c r="C85" s="1">
        <f t="shared" si="7"/>
        <v>2182.8744971678084</v>
      </c>
      <c r="D85" s="1">
        <f t="shared" si="8"/>
        <v>719.8374832977928</v>
      </c>
      <c r="E85" s="1">
        <f t="shared" si="9"/>
        <v>121217.83692531094</v>
      </c>
    </row>
    <row r="86" spans="1:5">
      <c r="A86">
        <f t="shared" si="5"/>
        <v>73</v>
      </c>
      <c r="B86" s="1">
        <f t="shared" si="6"/>
        <v>2902.7119804656013</v>
      </c>
      <c r="C86" s="1">
        <f t="shared" si="7"/>
        <v>2195.6079317346207</v>
      </c>
      <c r="D86" s="1">
        <f t="shared" si="8"/>
        <v>707.10404873098048</v>
      </c>
      <c r="E86" s="1">
        <f t="shared" si="9"/>
        <v>119022.22899357633</v>
      </c>
    </row>
    <row r="87" spans="1:5">
      <c r="A87">
        <f t="shared" si="5"/>
        <v>74</v>
      </c>
      <c r="B87" s="1">
        <f t="shared" si="6"/>
        <v>2902.7119804656013</v>
      </c>
      <c r="C87" s="1">
        <f t="shared" si="7"/>
        <v>2208.4156446697393</v>
      </c>
      <c r="D87" s="1">
        <f t="shared" si="8"/>
        <v>694.29633579586198</v>
      </c>
      <c r="E87" s="1">
        <f t="shared" si="9"/>
        <v>116813.81334890658</v>
      </c>
    </row>
    <row r="88" spans="1:5">
      <c r="A88">
        <f t="shared" si="5"/>
        <v>75</v>
      </c>
      <c r="B88" s="1">
        <f t="shared" si="6"/>
        <v>2902.7119804656013</v>
      </c>
      <c r="C88" s="1">
        <f t="shared" si="7"/>
        <v>2221.2980692636461</v>
      </c>
      <c r="D88" s="1">
        <f t="shared" si="8"/>
        <v>681.4139112019551</v>
      </c>
      <c r="E88" s="1">
        <f t="shared" si="9"/>
        <v>114592.51527964293</v>
      </c>
    </row>
    <row r="89" spans="1:5">
      <c r="A89">
        <f t="shared" si="5"/>
        <v>76</v>
      </c>
      <c r="B89" s="1">
        <f t="shared" si="6"/>
        <v>2902.7119804656013</v>
      </c>
      <c r="C89" s="1">
        <f t="shared" si="7"/>
        <v>2234.2556413343509</v>
      </c>
      <c r="D89" s="1">
        <f t="shared" si="8"/>
        <v>668.4563391312505</v>
      </c>
      <c r="E89" s="1">
        <f t="shared" si="9"/>
        <v>112358.25963830858</v>
      </c>
    </row>
    <row r="90" spans="1:5">
      <c r="A90">
        <f t="shared" si="5"/>
        <v>77</v>
      </c>
      <c r="B90" s="1">
        <f t="shared" si="6"/>
        <v>2902.7119804656013</v>
      </c>
      <c r="C90" s="1">
        <f t="shared" si="7"/>
        <v>2247.2887992421347</v>
      </c>
      <c r="D90" s="1">
        <f t="shared" si="8"/>
        <v>655.42318122346671</v>
      </c>
      <c r="E90" s="1">
        <f t="shared" si="9"/>
        <v>110110.97083906645</v>
      </c>
    </row>
    <row r="91" spans="1:5">
      <c r="A91">
        <f t="shared" si="5"/>
        <v>78</v>
      </c>
      <c r="B91" s="1">
        <f t="shared" si="6"/>
        <v>2902.7119804656013</v>
      </c>
      <c r="C91" s="1">
        <f t="shared" si="7"/>
        <v>2260.3979839043805</v>
      </c>
      <c r="D91" s="1">
        <f t="shared" si="8"/>
        <v>642.31399656122096</v>
      </c>
      <c r="E91" s="1">
        <f t="shared" si="9"/>
        <v>107850.57285516207</v>
      </c>
    </row>
    <row r="92" spans="1:5">
      <c r="A92">
        <f t="shared" si="5"/>
        <v>79</v>
      </c>
      <c r="B92" s="1">
        <f t="shared" si="6"/>
        <v>2902.7119804656013</v>
      </c>
      <c r="C92" s="1">
        <f t="shared" si="7"/>
        <v>2273.583638810489</v>
      </c>
      <c r="D92" s="1">
        <f t="shared" si="8"/>
        <v>629.12834165511208</v>
      </c>
      <c r="E92" s="1">
        <f t="shared" si="9"/>
        <v>105576.98921635158</v>
      </c>
    </row>
    <row r="93" spans="1:5">
      <c r="A93">
        <f t="shared" si="5"/>
        <v>80</v>
      </c>
      <c r="B93" s="1">
        <f t="shared" si="6"/>
        <v>2902.7119804656013</v>
      </c>
      <c r="C93" s="1">
        <f t="shared" si="7"/>
        <v>2286.8462100368838</v>
      </c>
      <c r="D93" s="1">
        <f t="shared" si="8"/>
        <v>615.86577042871761</v>
      </c>
      <c r="E93" s="1">
        <f t="shared" si="9"/>
        <v>103290.1430063147</v>
      </c>
    </row>
    <row r="94" spans="1:5">
      <c r="A94">
        <f t="shared" si="5"/>
        <v>81</v>
      </c>
      <c r="B94" s="1">
        <f t="shared" si="6"/>
        <v>2902.7119804656013</v>
      </c>
      <c r="C94" s="1">
        <f t="shared" si="7"/>
        <v>2300.1861462620991</v>
      </c>
      <c r="D94" s="1">
        <f t="shared" si="8"/>
        <v>602.52583420350243</v>
      </c>
      <c r="E94" s="1">
        <f t="shared" si="9"/>
        <v>100989.9568600526</v>
      </c>
    </row>
    <row r="95" spans="1:5">
      <c r="A95">
        <f t="shared" si="5"/>
        <v>82</v>
      </c>
      <c r="B95" s="1">
        <f t="shared" si="6"/>
        <v>2902.7119804656013</v>
      </c>
      <c r="C95" s="1">
        <f t="shared" si="7"/>
        <v>2313.6038987819611</v>
      </c>
      <c r="D95" s="1">
        <f t="shared" si="8"/>
        <v>589.10808168364019</v>
      </c>
      <c r="E95" s="1">
        <f t="shared" si="9"/>
        <v>98676.352961270633</v>
      </c>
    </row>
    <row r="96" spans="1:5">
      <c r="A96">
        <f t="shared" si="5"/>
        <v>83</v>
      </c>
      <c r="B96" s="1">
        <f t="shared" si="6"/>
        <v>2902.7119804656013</v>
      </c>
      <c r="C96" s="1">
        <f t="shared" si="7"/>
        <v>2327.0999215248557</v>
      </c>
      <c r="D96" s="1">
        <f t="shared" si="8"/>
        <v>575.61205894074544</v>
      </c>
      <c r="E96" s="1">
        <f t="shared" si="9"/>
        <v>96349.253039745774</v>
      </c>
    </row>
    <row r="97" spans="1:5">
      <c r="A97">
        <f t="shared" si="5"/>
        <v>84</v>
      </c>
      <c r="B97" s="1">
        <f t="shared" si="6"/>
        <v>2902.7119804656013</v>
      </c>
      <c r="C97" s="1">
        <f t="shared" si="7"/>
        <v>2340.6746710670841</v>
      </c>
      <c r="D97" s="1">
        <f t="shared" si="8"/>
        <v>562.0373093985171</v>
      </c>
      <c r="E97" s="1">
        <f t="shared" si="9"/>
        <v>94008.578368678689</v>
      </c>
    </row>
    <row r="98" spans="1:5">
      <c r="A98">
        <f t="shared" si="5"/>
        <v>85</v>
      </c>
      <c r="B98" s="1">
        <f t="shared" si="6"/>
        <v>2902.7119804656013</v>
      </c>
      <c r="C98" s="1">
        <f t="shared" si="7"/>
        <v>2354.3286066483088</v>
      </c>
      <c r="D98" s="1">
        <f t="shared" si="8"/>
        <v>548.38337381729241</v>
      </c>
      <c r="E98" s="1">
        <f t="shared" si="9"/>
        <v>91654.249762030377</v>
      </c>
    </row>
    <row r="99" spans="1:5">
      <c r="A99">
        <f t="shared" si="5"/>
        <v>86</v>
      </c>
      <c r="B99" s="1">
        <f t="shared" si="6"/>
        <v>2902.7119804656013</v>
      </c>
      <c r="C99" s="1">
        <f t="shared" si="7"/>
        <v>2368.0621901870909</v>
      </c>
      <c r="D99" s="1">
        <f t="shared" si="8"/>
        <v>534.64979027851052</v>
      </c>
      <c r="E99" s="1">
        <f t="shared" si="9"/>
        <v>89286.187571843286</v>
      </c>
    </row>
    <row r="100" spans="1:5">
      <c r="A100">
        <f t="shared" si="5"/>
        <v>87</v>
      </c>
      <c r="B100" s="1">
        <f t="shared" si="6"/>
        <v>2902.7119804656013</v>
      </c>
      <c r="C100" s="1">
        <f t="shared" si="7"/>
        <v>2381.8758862965155</v>
      </c>
      <c r="D100" s="1">
        <f t="shared" si="8"/>
        <v>520.83609416908587</v>
      </c>
      <c r="E100" s="1">
        <f t="shared" si="9"/>
        <v>86904.311685546767</v>
      </c>
    </row>
    <row r="101" spans="1:5">
      <c r="A101">
        <f t="shared" si="5"/>
        <v>88</v>
      </c>
      <c r="B101" s="1">
        <f t="shared" si="6"/>
        <v>2902.7119804656013</v>
      </c>
      <c r="C101" s="1">
        <f t="shared" si="7"/>
        <v>2395.770162299912</v>
      </c>
      <c r="D101" s="1">
        <f t="shared" si="8"/>
        <v>506.94181816568948</v>
      </c>
      <c r="E101" s="1">
        <f t="shared" si="9"/>
        <v>84508.541523246851</v>
      </c>
    </row>
    <row r="102" spans="1:5">
      <c r="A102">
        <f t="shared" si="5"/>
        <v>89</v>
      </c>
      <c r="B102" s="1">
        <f t="shared" si="6"/>
        <v>2902.7119804656013</v>
      </c>
      <c r="C102" s="1">
        <f t="shared" si="7"/>
        <v>2409.7454882466614</v>
      </c>
      <c r="D102" s="1">
        <f t="shared" si="8"/>
        <v>492.96649221894</v>
      </c>
      <c r="E102" s="1">
        <f t="shared" si="9"/>
        <v>82098.796035000196</v>
      </c>
    </row>
    <row r="103" spans="1:5">
      <c r="A103">
        <f t="shared" si="5"/>
        <v>90</v>
      </c>
      <c r="B103" s="1">
        <f t="shared" si="6"/>
        <v>2902.7119804656013</v>
      </c>
      <c r="C103" s="1">
        <f t="shared" si="7"/>
        <v>2423.8023369281</v>
      </c>
      <c r="D103" s="1">
        <f t="shared" si="8"/>
        <v>478.90964353750115</v>
      </c>
      <c r="E103" s="1">
        <f t="shared" si="9"/>
        <v>79674.993698072096</v>
      </c>
    </row>
    <row r="104" spans="1:5">
      <c r="A104">
        <f t="shared" si="5"/>
        <v>91</v>
      </c>
      <c r="B104" s="1">
        <f t="shared" si="6"/>
        <v>2902.7119804656013</v>
      </c>
      <c r="C104" s="1">
        <f t="shared" si="7"/>
        <v>2437.9411838935139</v>
      </c>
      <c r="D104" s="1">
        <f t="shared" si="8"/>
        <v>464.77079657208725</v>
      </c>
      <c r="E104" s="1">
        <f t="shared" si="9"/>
        <v>77237.052514178577</v>
      </c>
    </row>
    <row r="105" spans="1:5">
      <c r="A105">
        <f t="shared" si="5"/>
        <v>92</v>
      </c>
      <c r="B105" s="1">
        <f t="shared" si="6"/>
        <v>2902.7119804656013</v>
      </c>
      <c r="C105" s="1">
        <f t="shared" si="7"/>
        <v>2452.1625074662261</v>
      </c>
      <c r="D105" s="1">
        <f t="shared" si="8"/>
        <v>450.54947299937504</v>
      </c>
      <c r="E105" s="1">
        <f t="shared" si="9"/>
        <v>74784.890006712347</v>
      </c>
    </row>
    <row r="106" spans="1:5">
      <c r="A106">
        <f t="shared" si="5"/>
        <v>93</v>
      </c>
      <c r="B106" s="1">
        <f t="shared" si="6"/>
        <v>2902.7119804656013</v>
      </c>
      <c r="C106" s="1">
        <f t="shared" si="7"/>
        <v>2466.4667887597793</v>
      </c>
      <c r="D106" s="1">
        <f t="shared" si="8"/>
        <v>436.24519170582204</v>
      </c>
      <c r="E106" s="1">
        <f t="shared" si="9"/>
        <v>72318.423217952572</v>
      </c>
    </row>
    <row r="107" spans="1:5">
      <c r="A107">
        <f t="shared" si="5"/>
        <v>94</v>
      </c>
      <c r="B107" s="1">
        <f t="shared" si="6"/>
        <v>2902.7119804656013</v>
      </c>
      <c r="C107" s="1">
        <f t="shared" si="7"/>
        <v>2480.8545116942114</v>
      </c>
      <c r="D107" s="1">
        <f t="shared" si="8"/>
        <v>421.85746877139002</v>
      </c>
      <c r="E107" s="1">
        <f t="shared" si="9"/>
        <v>69837.56870625836</v>
      </c>
    </row>
    <row r="108" spans="1:5">
      <c r="A108">
        <f t="shared" si="5"/>
        <v>95</v>
      </c>
      <c r="B108" s="1">
        <f t="shared" si="6"/>
        <v>2902.7119804656013</v>
      </c>
      <c r="C108" s="1">
        <f t="shared" si="7"/>
        <v>2495.3261630124275</v>
      </c>
      <c r="D108" s="1">
        <f t="shared" si="8"/>
        <v>407.38581745317379</v>
      </c>
      <c r="E108" s="1">
        <f t="shared" si="9"/>
        <v>67342.242543245928</v>
      </c>
    </row>
    <row r="109" spans="1:5">
      <c r="A109">
        <f t="shared" si="5"/>
        <v>96</v>
      </c>
      <c r="B109" s="1">
        <f t="shared" si="6"/>
        <v>2902.7119804656013</v>
      </c>
      <c r="C109" s="1">
        <f t="shared" si="7"/>
        <v>2509.8822322966666</v>
      </c>
      <c r="D109" s="1">
        <f t="shared" si="8"/>
        <v>392.8297481689346</v>
      </c>
      <c r="E109" s="1">
        <f t="shared" si="9"/>
        <v>64832.360310949261</v>
      </c>
    </row>
    <row r="110" spans="1:5">
      <c r="A110">
        <f t="shared" si="5"/>
        <v>97</v>
      </c>
      <c r="B110" s="1">
        <f t="shared" si="6"/>
        <v>2902.7119804656013</v>
      </c>
      <c r="C110" s="1">
        <f t="shared" si="7"/>
        <v>2524.5232119850639</v>
      </c>
      <c r="D110" s="1">
        <f t="shared" si="8"/>
        <v>378.18876848053736</v>
      </c>
      <c r="E110" s="1">
        <f t="shared" si="9"/>
        <v>62307.837098964199</v>
      </c>
    </row>
    <row r="111" spans="1:5">
      <c r="A111">
        <f t="shared" si="5"/>
        <v>98</v>
      </c>
      <c r="B111" s="1">
        <f t="shared" si="6"/>
        <v>2902.7119804656013</v>
      </c>
      <c r="C111" s="1">
        <f t="shared" si="7"/>
        <v>2539.2495973883101</v>
      </c>
      <c r="D111" s="1">
        <f t="shared" si="8"/>
        <v>363.46238307729118</v>
      </c>
      <c r="E111" s="1">
        <f t="shared" si="9"/>
        <v>59768.587501575887</v>
      </c>
    </row>
    <row r="112" spans="1:5">
      <c r="A112">
        <f t="shared" si="5"/>
        <v>99</v>
      </c>
      <c r="B112" s="1">
        <f t="shared" si="6"/>
        <v>2902.7119804656013</v>
      </c>
      <c r="C112" s="1">
        <f t="shared" si="7"/>
        <v>2554.0618867064086</v>
      </c>
      <c r="D112" s="1">
        <f t="shared" si="8"/>
        <v>348.65009375919271</v>
      </c>
      <c r="E112" s="1">
        <f t="shared" si="9"/>
        <v>57214.525614869475</v>
      </c>
    </row>
    <row r="113" spans="1:5">
      <c r="A113">
        <f t="shared" si="5"/>
        <v>100</v>
      </c>
      <c r="B113" s="1">
        <f t="shared" si="6"/>
        <v>2902.7119804656013</v>
      </c>
      <c r="C113" s="1">
        <f t="shared" si="7"/>
        <v>2568.9605810455296</v>
      </c>
      <c r="D113" s="1">
        <f t="shared" si="8"/>
        <v>333.75139942007195</v>
      </c>
      <c r="E113" s="1">
        <f t="shared" si="9"/>
        <v>54645.565033823943</v>
      </c>
    </row>
    <row r="114" spans="1:5">
      <c r="A114">
        <f t="shared" si="5"/>
        <v>101</v>
      </c>
      <c r="B114" s="1">
        <f t="shared" si="6"/>
        <v>2902.7119804656013</v>
      </c>
      <c r="C114" s="1">
        <f t="shared" si="7"/>
        <v>2583.9461844349617</v>
      </c>
      <c r="D114" s="1">
        <f t="shared" si="8"/>
        <v>318.76579603063971</v>
      </c>
      <c r="E114" s="1">
        <f t="shared" si="9"/>
        <v>52061.618849388979</v>
      </c>
    </row>
    <row r="115" spans="1:5">
      <c r="A115">
        <f t="shared" si="5"/>
        <v>102</v>
      </c>
      <c r="B115" s="1">
        <f t="shared" si="6"/>
        <v>2902.7119804656013</v>
      </c>
      <c r="C115" s="1">
        <f t="shared" si="7"/>
        <v>2599.0192038441655</v>
      </c>
      <c r="D115" s="1">
        <f t="shared" si="8"/>
        <v>303.69277662143571</v>
      </c>
      <c r="E115" s="1">
        <f t="shared" si="9"/>
        <v>49462.599645544811</v>
      </c>
    </row>
    <row r="116" spans="1:5">
      <c r="A116">
        <f t="shared" si="5"/>
        <v>103</v>
      </c>
      <c r="B116" s="1">
        <f t="shared" si="6"/>
        <v>2902.7119804656013</v>
      </c>
      <c r="C116" s="1">
        <f t="shared" si="7"/>
        <v>2614.1801491999231</v>
      </c>
      <c r="D116" s="1">
        <f t="shared" si="8"/>
        <v>288.53183126567808</v>
      </c>
      <c r="E116" s="1">
        <f t="shared" si="9"/>
        <v>46848.41949634489</v>
      </c>
    </row>
    <row r="117" spans="1:5">
      <c r="A117">
        <f t="shared" si="5"/>
        <v>104</v>
      </c>
      <c r="B117" s="1">
        <f t="shared" si="6"/>
        <v>2902.7119804656013</v>
      </c>
      <c r="C117" s="1">
        <f t="shared" si="7"/>
        <v>2629.4295334035896</v>
      </c>
      <c r="D117" s="1">
        <f t="shared" si="8"/>
        <v>273.2824470620119</v>
      </c>
      <c r="E117" s="1">
        <f t="shared" si="9"/>
        <v>44218.989962941298</v>
      </c>
    </row>
    <row r="118" spans="1:5">
      <c r="A118">
        <f t="shared" si="5"/>
        <v>105</v>
      </c>
      <c r="B118" s="1">
        <f t="shared" si="6"/>
        <v>2902.7119804656013</v>
      </c>
      <c r="C118" s="1">
        <f t="shared" si="7"/>
        <v>2644.7678723484437</v>
      </c>
      <c r="D118" s="1">
        <f t="shared" si="8"/>
        <v>257.94410811715755</v>
      </c>
      <c r="E118" s="1">
        <f t="shared" si="9"/>
        <v>41574.222090592855</v>
      </c>
    </row>
    <row r="119" spans="1:5">
      <c r="A119">
        <f t="shared" si="5"/>
        <v>106</v>
      </c>
      <c r="B119" s="1">
        <f t="shared" si="6"/>
        <v>2902.7119804656013</v>
      </c>
      <c r="C119" s="1">
        <f t="shared" si="7"/>
        <v>2660.1956849371431</v>
      </c>
      <c r="D119" s="1">
        <f t="shared" si="8"/>
        <v>242.51629552845833</v>
      </c>
      <c r="E119" s="1">
        <f t="shared" si="9"/>
        <v>38914.026405655713</v>
      </c>
    </row>
    <row r="120" spans="1:5">
      <c r="A120">
        <f t="shared" si="5"/>
        <v>107</v>
      </c>
      <c r="B120" s="1">
        <f t="shared" si="6"/>
        <v>2902.7119804656013</v>
      </c>
      <c r="C120" s="1">
        <f t="shared" si="7"/>
        <v>2675.7134930992761</v>
      </c>
      <c r="D120" s="1">
        <f t="shared" si="8"/>
        <v>226.99848736632501</v>
      </c>
      <c r="E120" s="1">
        <f t="shared" si="9"/>
        <v>36238.312912556437</v>
      </c>
    </row>
    <row r="121" spans="1:5">
      <c r="A121">
        <f t="shared" si="5"/>
        <v>108</v>
      </c>
      <c r="B121" s="1">
        <f t="shared" si="6"/>
        <v>2902.7119804656013</v>
      </c>
      <c r="C121" s="1">
        <f t="shared" si="7"/>
        <v>2691.3218218090219</v>
      </c>
      <c r="D121" s="1">
        <f t="shared" si="8"/>
        <v>211.39015865657922</v>
      </c>
      <c r="E121" s="1">
        <f t="shared" si="9"/>
        <v>33546.991090747419</v>
      </c>
    </row>
    <row r="122" spans="1:5">
      <c r="A122">
        <f t="shared" si="5"/>
        <v>109</v>
      </c>
      <c r="B122" s="1">
        <f t="shared" si="6"/>
        <v>2902.7119804656013</v>
      </c>
      <c r="C122" s="1">
        <f t="shared" si="7"/>
        <v>2707.0211991029082</v>
      </c>
      <c r="D122" s="1">
        <f t="shared" si="8"/>
        <v>195.69078136269329</v>
      </c>
      <c r="E122" s="1">
        <f t="shared" si="9"/>
        <v>30839.969891644512</v>
      </c>
    </row>
    <row r="123" spans="1:5">
      <c r="A123">
        <f t="shared" si="5"/>
        <v>110</v>
      </c>
      <c r="B123" s="1">
        <f t="shared" si="6"/>
        <v>2902.7119804656013</v>
      </c>
      <c r="C123" s="1">
        <f t="shared" si="7"/>
        <v>2722.8121560976751</v>
      </c>
      <c r="D123" s="1">
        <f t="shared" si="8"/>
        <v>179.89982436792633</v>
      </c>
      <c r="E123" s="1">
        <f t="shared" si="9"/>
        <v>28117.157735546836</v>
      </c>
    </row>
    <row r="124" spans="1:5">
      <c r="A124">
        <f t="shared" si="5"/>
        <v>111</v>
      </c>
      <c r="B124" s="1">
        <f t="shared" si="6"/>
        <v>2902.7119804656013</v>
      </c>
      <c r="C124" s="1">
        <f t="shared" si="7"/>
        <v>2738.6952270082447</v>
      </c>
      <c r="D124" s="1">
        <f t="shared" si="8"/>
        <v>164.01675345735654</v>
      </c>
      <c r="E124" s="1">
        <f t="shared" si="9"/>
        <v>25378.462508538592</v>
      </c>
    </row>
    <row r="125" spans="1:5">
      <c r="A125">
        <f t="shared" si="5"/>
        <v>112</v>
      </c>
      <c r="B125" s="1">
        <f t="shared" si="6"/>
        <v>2902.7119804656013</v>
      </c>
      <c r="C125" s="1">
        <f t="shared" si="7"/>
        <v>2754.670949165793</v>
      </c>
      <c r="D125" s="1">
        <f t="shared" si="8"/>
        <v>148.04103129980845</v>
      </c>
      <c r="E125" s="1">
        <f t="shared" si="9"/>
        <v>22623.791559372799</v>
      </c>
    </row>
    <row r="126" spans="1:5">
      <c r="A126">
        <f t="shared" si="5"/>
        <v>113</v>
      </c>
      <c r="B126" s="1">
        <f t="shared" si="6"/>
        <v>2902.7119804656013</v>
      </c>
      <c r="C126" s="1">
        <f t="shared" si="7"/>
        <v>2770.7398630359266</v>
      </c>
      <c r="D126" s="1">
        <f t="shared" si="8"/>
        <v>131.97211742967468</v>
      </c>
      <c r="E126" s="1">
        <f t="shared" si="9"/>
        <v>19853.051696336872</v>
      </c>
    </row>
    <row r="127" spans="1:5">
      <c r="A127">
        <f t="shared" si="5"/>
        <v>114</v>
      </c>
      <c r="B127" s="1">
        <f t="shared" si="6"/>
        <v>2902.7119804656013</v>
      </c>
      <c r="C127" s="1">
        <f t="shared" si="7"/>
        <v>2786.9025122369694</v>
      </c>
      <c r="D127" s="1">
        <f t="shared" si="8"/>
        <v>115.80946822863176</v>
      </c>
      <c r="E127" s="1">
        <f t="shared" si="9"/>
        <v>17066.149184099901</v>
      </c>
    </row>
    <row r="128" spans="1:5">
      <c r="A128">
        <f t="shared" si="5"/>
        <v>115</v>
      </c>
      <c r="B128" s="1">
        <f t="shared" si="6"/>
        <v>2902.7119804656013</v>
      </c>
      <c r="C128" s="1">
        <f t="shared" si="7"/>
        <v>2803.159443558352</v>
      </c>
      <c r="D128" s="1">
        <f t="shared" si="8"/>
        <v>99.552536907249419</v>
      </c>
      <c r="E128" s="1">
        <f t="shared" si="9"/>
        <v>14262.989740541549</v>
      </c>
    </row>
    <row r="129" spans="1:5">
      <c r="A129">
        <f t="shared" si="5"/>
        <v>116</v>
      </c>
      <c r="B129" s="1">
        <f t="shared" si="6"/>
        <v>2902.7119804656013</v>
      </c>
      <c r="C129" s="1">
        <f t="shared" si="7"/>
        <v>2819.5112069791089</v>
      </c>
      <c r="D129" s="1">
        <f t="shared" si="8"/>
        <v>83.200773486492366</v>
      </c>
      <c r="E129" s="1">
        <f t="shared" si="9"/>
        <v>11443.47853356244</v>
      </c>
    </row>
    <row r="130" spans="1:5">
      <c r="A130">
        <f t="shared" si="5"/>
        <v>117</v>
      </c>
      <c r="B130" s="1">
        <f t="shared" si="6"/>
        <v>2902.7119804656013</v>
      </c>
      <c r="C130" s="1">
        <f t="shared" si="7"/>
        <v>2835.9583556864873</v>
      </c>
      <c r="D130" s="1">
        <f t="shared" si="8"/>
        <v>66.753624779114233</v>
      </c>
      <c r="E130" s="1">
        <f t="shared" si="9"/>
        <v>8607.5201778759529</v>
      </c>
    </row>
    <row r="131" spans="1:5">
      <c r="A131">
        <f t="shared" si="5"/>
        <v>118</v>
      </c>
      <c r="B131" s="1">
        <f t="shared" si="6"/>
        <v>2902.7119804656013</v>
      </c>
      <c r="C131" s="1">
        <f t="shared" si="7"/>
        <v>2852.5014460946581</v>
      </c>
      <c r="D131" s="1">
        <f t="shared" si="8"/>
        <v>50.210534370943058</v>
      </c>
      <c r="E131" s="1">
        <f t="shared" si="9"/>
        <v>5755.0187317812943</v>
      </c>
    </row>
    <row r="132" spans="1:5">
      <c r="A132">
        <f t="shared" si="5"/>
        <v>119</v>
      </c>
      <c r="B132" s="1">
        <f t="shared" si="6"/>
        <v>2902.7119804656013</v>
      </c>
      <c r="C132" s="1">
        <f t="shared" si="7"/>
        <v>2869.1410378635437</v>
      </c>
      <c r="D132" s="1">
        <f t="shared" si="8"/>
        <v>33.570942602057549</v>
      </c>
      <c r="E132" s="1">
        <f t="shared" si="9"/>
        <v>2885.8776939177505</v>
      </c>
    </row>
    <row r="133" spans="1:5">
      <c r="A133">
        <f t="shared" si="5"/>
        <v>120</v>
      </c>
      <c r="B133" s="1">
        <f t="shared" si="6"/>
        <v>2902.7119804656013</v>
      </c>
      <c r="C133" s="1">
        <f t="shared" si="7"/>
        <v>2885.8776939177478</v>
      </c>
      <c r="D133" s="1">
        <f t="shared" si="8"/>
        <v>16.834286547853544</v>
      </c>
      <c r="E133" s="1">
        <f t="shared" si="9"/>
        <v>2.7284841053187847E-12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V8" sqref="V8"/>
    </sheetView>
  </sheetViews>
  <sheetFormatPr defaultRowHeight="15"/>
  <cols>
    <col min="5" max="5" width="18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6"/>
      <c r="J6" s="126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8"/>
      <c r="J7" s="128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8"/>
      <c r="J8" s="128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8"/>
      <c r="J9" s="128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U8" sqref="U8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6"/>
      <c r="K6" s="126"/>
    </row>
    <row r="7" spans="6:11">
      <c r="F7" s="66" t="s">
        <v>85</v>
      </c>
      <c r="G7" s="94">
        <f>'Profit and Loss Statement'!E21/'Profit and Loss Statement'!E8</f>
        <v>2547614.6563943666</v>
      </c>
      <c r="H7" s="94">
        <f>'Profit and Loss Statement'!F21/'Profit and Loss Statement'!F8</f>
        <v>2694154.6580957738</v>
      </c>
      <c r="I7" s="94">
        <f>'Profit and Loss Statement'!G21/'Profit and Loss Statement'!G8</f>
        <v>2839484.4844157738</v>
      </c>
      <c r="J7" s="127"/>
      <c r="K7" s="127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2547614.6563943666</v>
      </c>
      <c r="H11" s="114">
        <f t="shared" ref="H11:K11" si="0">H7</f>
        <v>2694154.6580957738</v>
      </c>
      <c r="I11" s="114">
        <f t="shared" si="0"/>
        <v>2839484.4844157738</v>
      </c>
      <c r="J11" s="114">
        <f t="shared" si="0"/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W7" sqref="W7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6"/>
      <c r="J6" s="126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0.2</v>
      </c>
      <c r="H8" s="101">
        <f>'Revenue Overview'!H5</f>
        <v>0.15</v>
      </c>
      <c r="I8" s="128"/>
      <c r="J8" s="128"/>
    </row>
    <row r="9" spans="5:10">
      <c r="E9" s="103" t="s">
        <v>12</v>
      </c>
      <c r="F9" s="104">
        <f>'Profit and Loss Statement'!E8</f>
        <v>0.39444444444444438</v>
      </c>
      <c r="G9" s="104">
        <f>'Profit and Loss Statement'!F8</f>
        <v>0.39444444444444449</v>
      </c>
      <c r="H9" s="101">
        <f>'Profit and Loss Statement'!G8</f>
        <v>0.39444444444444449</v>
      </c>
      <c r="I9" s="128"/>
      <c r="J9" s="128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5.3308410561436384E-2</v>
      </c>
      <c r="G12" s="101">
        <f>'Profit and Loss Statement'!F28/'Profit and Loss Statement'!F6</f>
        <v>8.0274034172315711E-2</v>
      </c>
      <c r="H12" s="101">
        <f>'Profit and Loss Statement'!G28/'Profit and Loss Statement'!G6</f>
        <v>9.7065450250538213E-2</v>
      </c>
      <c r="I12" s="128"/>
      <c r="J12" s="128"/>
    </row>
    <row r="13" spans="5:10">
      <c r="E13" s="66" t="s">
        <v>92</v>
      </c>
      <c r="F13" s="105">
        <f>'Balance Sheet'!E10/'Balance Sheet'!E15</f>
        <v>1.4034202745835995</v>
      </c>
      <c r="G13" s="105">
        <f>'Balance Sheet'!F10/'Balance Sheet'!F15</f>
        <v>1.8290176848013227</v>
      </c>
      <c r="H13" s="105">
        <f>'Balance Sheet'!G10/'Balance Sheet'!G15</f>
        <v>2.5125961076473842</v>
      </c>
      <c r="I13" s="129"/>
      <c r="J13" s="129"/>
    </row>
    <row r="14" spans="5:10">
      <c r="E14" s="66" t="s">
        <v>93</v>
      </c>
      <c r="F14" s="105">
        <f>'Balance Sheet'!E17/'Balance Sheet'!E15</f>
        <v>0.40342027458359958</v>
      </c>
      <c r="G14" s="105">
        <f>'Balance Sheet'!F17/'Balance Sheet'!F15</f>
        <v>0.82901768480132276</v>
      </c>
      <c r="H14" s="105">
        <f>'Balance Sheet'!G17/'Balance Sheet'!G15</f>
        <v>1.5125961076473842</v>
      </c>
      <c r="I14" s="129"/>
      <c r="J14" s="129"/>
    </row>
    <row r="15" spans="5:10">
      <c r="E15" s="66" t="s">
        <v>94</v>
      </c>
      <c r="F15" s="105">
        <f>'Balance Sheet'!E10/'Balance Sheet'!E17</f>
        <v>3.4788045197583966</v>
      </c>
      <c r="G15" s="105">
        <f>'Balance Sheet'!F10/'Balance Sheet'!F17</f>
        <v>2.2062468851188064</v>
      </c>
      <c r="H15" s="105">
        <f>'Balance Sheet'!G10/'Balance Sheet'!G17</f>
        <v>1.6611150160602686</v>
      </c>
      <c r="I15" s="129"/>
      <c r="J15" s="129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0.95453783455846009</v>
      </c>
      <c r="G18" s="105">
        <f>'Balance Sheet'!F7/'Balance Sheet'!F10</f>
        <v>0.94728050642969508</v>
      </c>
      <c r="H18" s="105">
        <f>'Balance Sheet'!G7/'Balance Sheet'!G10</f>
        <v>0.93417862091302539</v>
      </c>
      <c r="I18" s="129"/>
      <c r="J18" s="129"/>
    </row>
    <row r="19" spans="5:10">
      <c r="E19" s="66" t="s">
        <v>96</v>
      </c>
      <c r="F19" s="105">
        <f>'Balance Sheet'!E7/'Balance Sheet'!E15</f>
        <v>1.3396177498764685</v>
      </c>
      <c r="G19" s="105">
        <f>'Balance Sheet'!F7/'Balance Sheet'!F15</f>
        <v>1.7325927987274654</v>
      </c>
      <c r="H19" s="105">
        <f>'Balance Sheet'!G7/'Balance Sheet'!G15</f>
        <v>2.3472135667534686</v>
      </c>
      <c r="I19" s="129"/>
      <c r="J19" s="129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D6" sqref="D6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8.140625" customWidth="1"/>
    <col min="8" max="8" width="9.28515625" customWidth="1"/>
    <col min="9" max="9" width="10" customWidth="1"/>
    <col min="10" max="11" width="11.7109375" customWidth="1"/>
    <col min="12" max="12" width="39.28515625" customWidth="1"/>
    <col min="13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115</v>
      </c>
      <c r="C5" s="14">
        <v>125000</v>
      </c>
      <c r="G5" s="11" t="s">
        <v>9</v>
      </c>
      <c r="H5" s="16">
        <v>1</v>
      </c>
      <c r="I5" s="16">
        <v>2</v>
      </c>
      <c r="J5" s="16">
        <v>3</v>
      </c>
      <c r="M5" s="43"/>
      <c r="N5" s="43"/>
    </row>
    <row r="6" spans="2:14">
      <c r="B6" s="4" t="s">
        <v>120</v>
      </c>
      <c r="C6" s="14">
        <v>85000</v>
      </c>
      <c r="G6" s="4" t="str">
        <f>B5</f>
        <v>Senior Management</v>
      </c>
      <c r="H6" s="14">
        <f t="shared" ref="H6:H15" si="0">H18*C5</f>
        <v>125000</v>
      </c>
      <c r="I6" s="14">
        <f t="shared" ref="I6:I15" si="1">D58*I18</f>
        <v>128750</v>
      </c>
      <c r="J6" s="14">
        <f t="shared" ref="J6:J15" si="2">E58*J18</f>
        <v>132612.5</v>
      </c>
      <c r="M6" s="117"/>
      <c r="N6" s="117"/>
    </row>
    <row r="7" spans="2:14">
      <c r="B7" s="4" t="s">
        <v>129</v>
      </c>
      <c r="C7" s="14">
        <v>55000</v>
      </c>
      <c r="G7" s="4" t="str">
        <f>B6</f>
        <v>Operational Managers</v>
      </c>
      <c r="H7" s="14">
        <f t="shared" si="0"/>
        <v>170000</v>
      </c>
      <c r="I7" s="14">
        <f t="shared" si="1"/>
        <v>175100</v>
      </c>
      <c r="J7" s="14">
        <f t="shared" si="2"/>
        <v>180353</v>
      </c>
      <c r="M7" s="117"/>
      <c r="N7" s="117"/>
    </row>
    <row r="8" spans="2:14">
      <c r="B8" s="4" t="s">
        <v>127</v>
      </c>
      <c r="C8" s="14">
        <v>42500</v>
      </c>
      <c r="G8" s="4" t="str">
        <f>B7</f>
        <v>Agency Staff</v>
      </c>
      <c r="H8" s="14">
        <f t="shared" si="0"/>
        <v>165000</v>
      </c>
      <c r="I8" s="14">
        <f t="shared" si="1"/>
        <v>169950</v>
      </c>
      <c r="J8" s="14">
        <f t="shared" si="2"/>
        <v>175048.5</v>
      </c>
      <c r="M8" s="117"/>
      <c r="N8" s="117"/>
    </row>
    <row r="9" spans="2:14">
      <c r="B9" s="4" t="s">
        <v>121</v>
      </c>
      <c r="C9" s="14">
        <v>45000</v>
      </c>
      <c r="G9" s="4" t="str">
        <f>B8</f>
        <v>Support Staff</v>
      </c>
      <c r="H9" s="14">
        <f t="shared" si="0"/>
        <v>170000</v>
      </c>
      <c r="I9" s="14">
        <f t="shared" si="1"/>
        <v>175100</v>
      </c>
      <c r="J9" s="14">
        <f t="shared" si="2"/>
        <v>180353</v>
      </c>
      <c r="M9" s="117"/>
      <c r="N9" s="117"/>
    </row>
    <row r="10" spans="2:14">
      <c r="B10" s="4" t="s">
        <v>123</v>
      </c>
      <c r="C10" s="14">
        <v>0</v>
      </c>
      <c r="G10" s="4" t="str">
        <f>B9</f>
        <v>Administrative and Accounting Staff</v>
      </c>
      <c r="H10" s="14">
        <f t="shared" si="0"/>
        <v>90000</v>
      </c>
      <c r="I10" s="14">
        <f t="shared" si="1"/>
        <v>92700</v>
      </c>
      <c r="J10" s="14">
        <f t="shared" si="2"/>
        <v>95481</v>
      </c>
      <c r="M10" s="117"/>
      <c r="N10" s="117"/>
    </row>
    <row r="11" spans="2:14">
      <c r="B11" s="4" t="s">
        <v>132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17"/>
      <c r="N11" s="117"/>
    </row>
    <row r="12" spans="2:14">
      <c r="B12" s="4" t="s">
        <v>133</v>
      </c>
      <c r="C12" s="14">
        <v>0</v>
      </c>
      <c r="G12" s="4" t="str">
        <f>B30</f>
        <v>Postion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7"/>
      <c r="N12" s="117"/>
    </row>
    <row r="13" spans="2:14">
      <c r="B13" s="4" t="s">
        <v>134</v>
      </c>
      <c r="C13" s="14">
        <v>0</v>
      </c>
      <c r="G13" s="4" t="str">
        <f>B31</f>
        <v>Postion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7"/>
      <c r="N13" s="117"/>
    </row>
    <row r="14" spans="2:14">
      <c r="B14" s="4" t="s">
        <v>124</v>
      </c>
      <c r="C14" s="14">
        <v>0</v>
      </c>
      <c r="G14" s="4" t="str">
        <f>B32</f>
        <v>Postion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7"/>
      <c r="N14" s="117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7"/>
      <c r="N15" s="117"/>
    </row>
    <row r="16" spans="2:14">
      <c r="G16" s="10" t="s">
        <v>8</v>
      </c>
      <c r="H16" s="9">
        <f>SUM(H6:H15)</f>
        <v>720000</v>
      </c>
      <c r="I16" s="9">
        <f t="shared" ref="I16:J16" si="3">SUM(I6:I15)</f>
        <v>741600</v>
      </c>
      <c r="J16" s="9">
        <f t="shared" si="3"/>
        <v>763848</v>
      </c>
      <c r="M16" s="118"/>
      <c r="N16" s="118"/>
    </row>
    <row r="17" spans="2:20">
      <c r="M17" s="30"/>
      <c r="N17" s="30"/>
    </row>
    <row r="18" spans="2:20">
      <c r="G18" s="4" t="str">
        <f>G6</f>
        <v>Senior Management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Operational Managers</v>
      </c>
      <c r="H19" s="4">
        <f t="shared" si="4"/>
        <v>2</v>
      </c>
      <c r="I19" s="4">
        <f t="shared" si="5"/>
        <v>2</v>
      </c>
      <c r="J19" s="4">
        <f t="shared" si="6"/>
        <v>2</v>
      </c>
      <c r="M19" s="30"/>
      <c r="N19" s="30"/>
    </row>
    <row r="20" spans="2:20">
      <c r="G20" s="4" t="str">
        <f>G8</f>
        <v>Agency Staff</v>
      </c>
      <c r="H20" s="4">
        <f t="shared" si="4"/>
        <v>3</v>
      </c>
      <c r="I20" s="4">
        <f t="shared" si="5"/>
        <v>3</v>
      </c>
      <c r="J20" s="4">
        <f t="shared" si="6"/>
        <v>3</v>
      </c>
      <c r="M20" s="30"/>
      <c r="N20" s="30"/>
    </row>
    <row r="21" spans="2:20">
      <c r="G21" s="4" t="str">
        <f>G9</f>
        <v>Support Staff</v>
      </c>
      <c r="H21" s="4">
        <f t="shared" si="4"/>
        <v>4</v>
      </c>
      <c r="I21" s="4">
        <f t="shared" si="5"/>
        <v>4</v>
      </c>
      <c r="J21" s="4">
        <f t="shared" si="6"/>
        <v>4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Administrative and Accounting Staff</v>
      </c>
      <c r="H22" s="4">
        <f t="shared" si="4"/>
        <v>2</v>
      </c>
      <c r="I22" s="4">
        <f t="shared" si="5"/>
        <v>2</v>
      </c>
      <c r="J22" s="4">
        <f t="shared" si="6"/>
        <v>2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Senior Management</v>
      </c>
      <c r="C24" s="5">
        <v>1</v>
      </c>
      <c r="D24" s="5">
        <v>1</v>
      </c>
      <c r="E24" s="5">
        <v>1</v>
      </c>
      <c r="F24" s="140"/>
      <c r="G24" s="4" t="str">
        <f t="shared" si="7"/>
        <v>Postion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 t="shared" ref="B25:B33" si="8">B6</f>
        <v>Operational Managers</v>
      </c>
      <c r="C25" s="5">
        <v>2</v>
      </c>
      <c r="D25" s="5">
        <v>2</v>
      </c>
      <c r="E25" s="5">
        <v>2</v>
      </c>
      <c r="G25" s="4" t="str">
        <f t="shared" si="7"/>
        <v>Postion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 t="shared" si="8"/>
        <v>Agency Staff</v>
      </c>
      <c r="C26" s="5">
        <v>3</v>
      </c>
      <c r="D26" s="5">
        <v>3</v>
      </c>
      <c r="E26" s="5">
        <v>3</v>
      </c>
      <c r="F26" s="140"/>
      <c r="G26" s="4" t="str">
        <f t="shared" si="7"/>
        <v>Postion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 t="shared" si="8"/>
        <v>Support Staff</v>
      </c>
      <c r="C27" s="5">
        <v>4</v>
      </c>
      <c r="D27" s="5">
        <v>4</v>
      </c>
      <c r="E27" s="5">
        <v>4</v>
      </c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 t="shared" si="8"/>
        <v>Administrative and Accounting Staff</v>
      </c>
      <c r="C28" s="5">
        <v>2</v>
      </c>
      <c r="D28" s="5">
        <v>2</v>
      </c>
      <c r="E28" s="5">
        <v>2</v>
      </c>
      <c r="F28" s="140"/>
      <c r="G28" s="10" t="s">
        <v>8</v>
      </c>
      <c r="H28" s="10">
        <f>SUM(H18:H27)</f>
        <v>12</v>
      </c>
      <c r="I28" s="10">
        <f t="shared" ref="I28:J28" si="9">SUM(I18:I27)</f>
        <v>12</v>
      </c>
      <c r="J28" s="10">
        <f t="shared" si="9"/>
        <v>12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tr">
        <f t="shared" si="8"/>
        <v>Position 6</v>
      </c>
      <c r="C29" s="5"/>
      <c r="D29" s="5"/>
      <c r="E29" s="5"/>
      <c r="O29" s="115"/>
      <c r="P29" s="115"/>
      <c r="Q29" s="115"/>
      <c r="R29" s="115"/>
      <c r="S29" s="115"/>
      <c r="T29" s="115"/>
    </row>
    <row r="30" spans="2:20">
      <c r="B30" s="15" t="str">
        <f t="shared" si="8"/>
        <v>Postion 7</v>
      </c>
      <c r="C30" s="5"/>
      <c r="D30" s="5"/>
      <c r="E30" s="5"/>
      <c r="L30" s="112"/>
      <c r="M30" s="112"/>
      <c r="N30" s="115"/>
      <c r="O30" s="115"/>
      <c r="P30" s="115"/>
      <c r="Q30" s="115"/>
      <c r="R30" s="115"/>
      <c r="S30" s="115"/>
      <c r="T30" s="115"/>
    </row>
    <row r="31" spans="2:20">
      <c r="B31" s="15" t="str">
        <f t="shared" si="8"/>
        <v>Postion 8</v>
      </c>
      <c r="C31" s="5"/>
      <c r="D31" s="5"/>
      <c r="E31" s="5"/>
      <c r="L31" s="112" t="str">
        <f>G6</f>
        <v>Senior Management</v>
      </c>
      <c r="M31" s="113">
        <f>J6/$J$16</f>
        <v>0.1736111111111111</v>
      </c>
      <c r="N31" s="115"/>
      <c r="O31" s="115"/>
      <c r="P31" s="115"/>
      <c r="Q31" s="115"/>
      <c r="R31" s="115"/>
      <c r="S31" s="115"/>
      <c r="T31" s="115"/>
    </row>
    <row r="32" spans="2:20">
      <c r="B32" s="15" t="str">
        <f t="shared" si="8"/>
        <v>Postion 9</v>
      </c>
      <c r="C32" s="5"/>
      <c r="D32" s="5"/>
      <c r="E32" s="5"/>
      <c r="F32" s="30"/>
      <c r="G32" s="30"/>
      <c r="L32" s="112" t="str">
        <f>G7</f>
        <v>Operational Managers</v>
      </c>
      <c r="M32" s="113">
        <f>J7/$J$16</f>
        <v>0.2361111111111111</v>
      </c>
      <c r="N32" s="115"/>
      <c r="O32" s="115"/>
      <c r="P32" s="115"/>
      <c r="Q32" s="115"/>
      <c r="T32" s="115"/>
    </row>
    <row r="33" spans="2:20">
      <c r="B33" s="15" t="str">
        <f t="shared" si="8"/>
        <v>Position 10</v>
      </c>
      <c r="C33" s="5"/>
      <c r="D33" s="5"/>
      <c r="E33" s="5"/>
      <c r="F33" s="30"/>
      <c r="G33" s="30"/>
      <c r="L33" s="112" t="str">
        <f>G8</f>
        <v>Agency Staff</v>
      </c>
      <c r="M33" s="113">
        <f>J8/$J$16</f>
        <v>0.22916666666666666</v>
      </c>
      <c r="N33" s="115"/>
      <c r="O33" s="115"/>
      <c r="P33" s="115"/>
      <c r="Q33" s="115"/>
      <c r="T33" s="115"/>
    </row>
    <row r="34" spans="2:20">
      <c r="F34" s="43"/>
      <c r="G34" s="43"/>
      <c r="L34" s="112" t="str">
        <f>G9</f>
        <v>Support Staff</v>
      </c>
      <c r="M34" s="113">
        <f>J9/$J$16</f>
        <v>0.2361111111111111</v>
      </c>
      <c r="N34" s="115"/>
      <c r="O34" s="115"/>
      <c r="P34" s="115"/>
      <c r="Q34" s="115"/>
      <c r="T34" s="115"/>
    </row>
    <row r="35" spans="2:20">
      <c r="F35" s="43"/>
      <c r="G35" s="43"/>
      <c r="L35" s="112" t="str">
        <f>G10</f>
        <v>Administrative and Accounting Staff</v>
      </c>
      <c r="M35" s="113">
        <f>J10/$J$16</f>
        <v>0.125</v>
      </c>
      <c r="N35" s="115"/>
      <c r="O35" s="115"/>
      <c r="P35" s="115"/>
      <c r="Q35" s="115"/>
      <c r="T35" s="115"/>
    </row>
    <row r="36" spans="2:20">
      <c r="F36" s="43"/>
      <c r="G36" s="43"/>
      <c r="L36" s="112" t="str">
        <f t="shared" ref="L36:L40" si="10">G11</f>
        <v>Position 6</v>
      </c>
      <c r="M36" s="113">
        <f t="shared" ref="M36:M40" si="11">J11/$J$16</f>
        <v>0</v>
      </c>
      <c r="N36" s="115"/>
      <c r="O36" s="115"/>
      <c r="P36" s="115"/>
      <c r="Q36" s="115"/>
      <c r="T36" s="115"/>
    </row>
    <row r="37" spans="2:20">
      <c r="F37" s="43"/>
      <c r="G37" s="43"/>
      <c r="L37" s="112" t="str">
        <f t="shared" si="10"/>
        <v>Postion 7</v>
      </c>
      <c r="M37" s="113">
        <f t="shared" si="11"/>
        <v>0</v>
      </c>
      <c r="N37" s="115"/>
      <c r="O37" s="115"/>
      <c r="P37" s="115"/>
      <c r="Q37" s="115"/>
      <c r="R37" s="115"/>
      <c r="S37" s="116"/>
      <c r="T37" s="115"/>
    </row>
    <row r="38" spans="2:20">
      <c r="F38" s="43"/>
      <c r="G38" s="43"/>
      <c r="L38" s="112" t="str">
        <f t="shared" si="10"/>
        <v>Postion 8</v>
      </c>
      <c r="M38" s="113">
        <f t="shared" si="11"/>
        <v>0</v>
      </c>
      <c r="N38" s="115"/>
      <c r="O38" s="115"/>
      <c r="Q38" s="112"/>
      <c r="R38" s="112"/>
      <c r="S38" s="113"/>
    </row>
    <row r="39" spans="2:20">
      <c r="F39" s="43"/>
      <c r="G39" s="43"/>
      <c r="L39" s="112" t="str">
        <f t="shared" si="10"/>
        <v>Postion 9</v>
      </c>
      <c r="M39" s="113">
        <f t="shared" si="11"/>
        <v>0</v>
      </c>
      <c r="N39" s="115"/>
      <c r="O39" s="115"/>
      <c r="S39" s="111"/>
    </row>
    <row r="40" spans="2:20">
      <c r="F40" s="43"/>
      <c r="G40" s="43"/>
      <c r="L40" s="112" t="str">
        <f t="shared" si="10"/>
        <v>Position 10</v>
      </c>
      <c r="M40" s="113">
        <f t="shared" si="11"/>
        <v>0</v>
      </c>
      <c r="N40" s="115"/>
      <c r="O40" s="115"/>
    </row>
    <row r="41" spans="2:20">
      <c r="F41" s="43"/>
      <c r="G41" s="43"/>
      <c r="L41" s="112" t="str">
        <f t="shared" ref="L41" si="12">G16</f>
        <v>Total</v>
      </c>
      <c r="M41" s="113">
        <f t="shared" ref="M41" si="13">J16/$J$16</f>
        <v>1</v>
      </c>
      <c r="N41" s="115"/>
      <c r="O41" s="115"/>
    </row>
    <row r="42" spans="2:20">
      <c r="F42" s="43"/>
      <c r="G42" s="43"/>
      <c r="L42" s="115"/>
      <c r="M42" s="115"/>
      <c r="N42" s="115"/>
      <c r="O42" s="115"/>
    </row>
    <row r="43" spans="2:20">
      <c r="F43" s="43"/>
      <c r="G43" s="43"/>
      <c r="L43" s="115"/>
      <c r="M43" s="115"/>
      <c r="N43" s="115"/>
      <c r="O43" s="115"/>
    </row>
    <row r="44" spans="2:20">
      <c r="F44" s="43"/>
      <c r="G44" s="43"/>
      <c r="L44" s="115"/>
      <c r="M44" s="115"/>
      <c r="N44" s="115"/>
      <c r="O44" s="115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Senior Management</v>
      </c>
      <c r="C58" s="14">
        <f>C5</f>
        <v>125000</v>
      </c>
      <c r="D58" s="14">
        <f>C58*(1+$C$53)</f>
        <v>128750</v>
      </c>
      <c r="E58" s="14">
        <f>D58*(1+$C$53)</f>
        <v>132612.5</v>
      </c>
      <c r="F58" s="14">
        <f>E58*(1+$C$53)</f>
        <v>136590.875</v>
      </c>
      <c r="G58" s="14">
        <f>F58*(1+$C$53)</f>
        <v>140688.60125000001</v>
      </c>
    </row>
    <row r="59" spans="2:7">
      <c r="B59" s="4" t="str">
        <f t="shared" ref="B59:C67" si="14">B6</f>
        <v>Operational Managers</v>
      </c>
      <c r="C59" s="14">
        <f t="shared" si="14"/>
        <v>85000</v>
      </c>
      <c r="D59" s="14">
        <f t="shared" ref="D59:G59" si="15">C59*(1+$C$53)</f>
        <v>87550</v>
      </c>
      <c r="E59" s="14">
        <f t="shared" si="15"/>
        <v>90176.5</v>
      </c>
      <c r="F59" s="14">
        <f t="shared" si="15"/>
        <v>92881.794999999998</v>
      </c>
      <c r="G59" s="14">
        <f t="shared" si="15"/>
        <v>95668.248850000004</v>
      </c>
    </row>
    <row r="60" spans="2:7">
      <c r="B60" s="4" t="str">
        <f t="shared" si="14"/>
        <v>Agency Staff</v>
      </c>
      <c r="C60" s="14">
        <f t="shared" si="14"/>
        <v>55000</v>
      </c>
      <c r="D60" s="14">
        <f t="shared" ref="D60:G60" si="16">C60*(1+$C$53)</f>
        <v>56650</v>
      </c>
      <c r="E60" s="14">
        <f t="shared" si="16"/>
        <v>58349.5</v>
      </c>
      <c r="F60" s="14">
        <f t="shared" si="16"/>
        <v>60099.985000000001</v>
      </c>
      <c r="G60" s="14">
        <f t="shared" si="16"/>
        <v>61902.984550000001</v>
      </c>
    </row>
    <row r="61" spans="2:7">
      <c r="B61" s="4" t="str">
        <f t="shared" si="14"/>
        <v>Support Staff</v>
      </c>
      <c r="C61" s="14">
        <f t="shared" si="14"/>
        <v>42500</v>
      </c>
      <c r="D61" s="14">
        <f t="shared" ref="D61:G61" si="17">C61*(1+$C$53)</f>
        <v>43775</v>
      </c>
      <c r="E61" s="14">
        <f t="shared" si="17"/>
        <v>45088.25</v>
      </c>
      <c r="F61" s="14">
        <f t="shared" si="17"/>
        <v>46440.897499999999</v>
      </c>
      <c r="G61" s="14">
        <f t="shared" si="17"/>
        <v>47834.124425000002</v>
      </c>
    </row>
    <row r="62" spans="2:7">
      <c r="B62" s="4" t="str">
        <f t="shared" si="14"/>
        <v>Administrative and Accounting Staff</v>
      </c>
      <c r="C62" s="14">
        <f t="shared" si="14"/>
        <v>45000</v>
      </c>
      <c r="D62" s="14">
        <f t="shared" ref="D62:G62" si="18">C62*(1+$C$53)</f>
        <v>46350</v>
      </c>
      <c r="E62" s="14">
        <f t="shared" si="18"/>
        <v>47740.5</v>
      </c>
      <c r="F62" s="14">
        <f t="shared" si="18"/>
        <v>49172.715000000004</v>
      </c>
      <c r="G62" s="14">
        <f t="shared" si="18"/>
        <v>50647.896450000007</v>
      </c>
    </row>
    <row r="63" spans="2:7">
      <c r="B63" s="4" t="str">
        <f t="shared" si="14"/>
        <v>Position 6</v>
      </c>
      <c r="C63" s="14">
        <f t="shared" si="14"/>
        <v>0</v>
      </c>
      <c r="D63" s="14">
        <f t="shared" ref="D63:G63" si="19">C63*(1+$C$53)</f>
        <v>0</v>
      </c>
      <c r="E63" s="14">
        <f t="shared" si="19"/>
        <v>0</v>
      </c>
      <c r="F63" s="14">
        <f t="shared" si="19"/>
        <v>0</v>
      </c>
      <c r="G63" s="14">
        <f t="shared" si="19"/>
        <v>0</v>
      </c>
    </row>
    <row r="64" spans="2:7">
      <c r="B64" s="4" t="str">
        <f t="shared" si="14"/>
        <v>Postion 7</v>
      </c>
      <c r="C64" s="14">
        <f t="shared" si="14"/>
        <v>0</v>
      </c>
      <c r="D64" s="14">
        <f t="shared" ref="D64:G64" si="20">C64*(1+$C$53)</f>
        <v>0</v>
      </c>
      <c r="E64" s="14">
        <f t="shared" si="20"/>
        <v>0</v>
      </c>
      <c r="F64" s="14">
        <f t="shared" si="20"/>
        <v>0</v>
      </c>
      <c r="G64" s="14">
        <f t="shared" si="20"/>
        <v>0</v>
      </c>
    </row>
    <row r="65" spans="2:7">
      <c r="B65" s="4" t="str">
        <f t="shared" si="14"/>
        <v>Postion 8</v>
      </c>
      <c r="C65" s="14">
        <f t="shared" si="14"/>
        <v>0</v>
      </c>
      <c r="D65" s="14">
        <f t="shared" ref="D65:G65" si="21">C65*(1+$C$53)</f>
        <v>0</v>
      </c>
      <c r="E65" s="14">
        <f t="shared" si="21"/>
        <v>0</v>
      </c>
      <c r="F65" s="14">
        <f t="shared" si="21"/>
        <v>0</v>
      </c>
      <c r="G65" s="14">
        <f t="shared" si="21"/>
        <v>0</v>
      </c>
    </row>
    <row r="66" spans="2:7">
      <c r="B66" s="4" t="str">
        <f t="shared" si="14"/>
        <v>Postion 9</v>
      </c>
      <c r="C66" s="14">
        <f t="shared" si="14"/>
        <v>0</v>
      </c>
      <c r="D66" s="14">
        <f t="shared" ref="D66:G66" si="22">C66*(1+$C$53)</f>
        <v>0</v>
      </c>
      <c r="E66" s="14">
        <f t="shared" si="22"/>
        <v>0</v>
      </c>
      <c r="F66" s="14">
        <f t="shared" si="22"/>
        <v>0</v>
      </c>
      <c r="G66" s="14">
        <f t="shared" si="22"/>
        <v>0</v>
      </c>
    </row>
    <row r="67" spans="2:7">
      <c r="B67" s="4" t="str">
        <f t="shared" si="14"/>
        <v>Position 10</v>
      </c>
      <c r="C67" s="14">
        <f t="shared" si="14"/>
        <v>0</v>
      </c>
      <c r="D67" s="14">
        <f t="shared" ref="D67:G67" si="23">C67*(1+$C$53)</f>
        <v>0</v>
      </c>
      <c r="E67" s="14">
        <f t="shared" si="23"/>
        <v>0</v>
      </c>
      <c r="F67" s="14">
        <f t="shared" si="23"/>
        <v>0</v>
      </c>
      <c r="G67" s="14">
        <f t="shared" si="23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K22" sqref="K22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6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0.2</v>
      </c>
      <c r="H5" s="109">
        <f>Inputs!C47</f>
        <v>0.15</v>
      </c>
      <c r="I5" s="125"/>
      <c r="J5" s="108"/>
      <c r="K5" s="109"/>
      <c r="L5" s="109"/>
      <c r="M5" s="109"/>
    </row>
    <row r="6" spans="5:13">
      <c r="E6" s="94" t="str">
        <f>Inputs!B5</f>
        <v>Medical Staffing Fees</v>
      </c>
      <c r="F6" s="94">
        <f>SUM(Inputs!C32:N32)</f>
        <v>2401320</v>
      </c>
      <c r="G6" s="94">
        <f t="shared" ref="G6:H15" si="0">F6*(1+G$5)</f>
        <v>2881584</v>
      </c>
      <c r="H6" s="94">
        <f t="shared" si="0"/>
        <v>3313821.5999999996</v>
      </c>
      <c r="I6" s="127"/>
      <c r="J6" s="94" t="str">
        <f>E6</f>
        <v>Medical Staffing Fees</v>
      </c>
      <c r="K6" s="143">
        <f>F6/$F$16</f>
        <v>0.7407407407407407</v>
      </c>
      <c r="L6" s="143">
        <f>G6/$G$16</f>
        <v>0.74074074074074081</v>
      </c>
      <c r="M6" s="143">
        <f>H6/$H$16</f>
        <v>0.74074074074074081</v>
      </c>
    </row>
    <row r="7" spans="5:13">
      <c r="E7" s="94" t="str">
        <f>Inputs!B6</f>
        <v>Placement Fees</v>
      </c>
      <c r="F7" s="94">
        <f>SUM(Inputs!C33:N33)</f>
        <v>840462</v>
      </c>
      <c r="G7" s="94">
        <f t="shared" si="0"/>
        <v>1008554.3999999999</v>
      </c>
      <c r="H7" s="94">
        <f t="shared" si="0"/>
        <v>1159837.5599999998</v>
      </c>
      <c r="I7" s="127"/>
      <c r="J7" s="94" t="str">
        <f t="shared" ref="J7:J15" si="1">E7</f>
        <v>Placement Fees</v>
      </c>
      <c r="K7" s="143">
        <f t="shared" ref="K7:K15" si="2">F7/$F$16</f>
        <v>0.25925925925925924</v>
      </c>
      <c r="L7" s="143">
        <f t="shared" ref="L7:L15" si="3">G7/$G$16</f>
        <v>0.25925925925925924</v>
      </c>
      <c r="M7" s="143">
        <f t="shared" ref="M7:M15" si="4">H7/$H$16</f>
        <v>0.25925925925925924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27"/>
      <c r="J8" s="94" t="str">
        <f t="shared" si="1"/>
        <v>Item 3</v>
      </c>
      <c r="K8" s="143">
        <f t="shared" si="2"/>
        <v>0</v>
      </c>
      <c r="L8" s="143">
        <f t="shared" si="3"/>
        <v>0</v>
      </c>
      <c r="M8" s="143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7"/>
      <c r="J9" s="94" t="str">
        <f t="shared" si="1"/>
        <v>Item 4</v>
      </c>
      <c r="K9" s="143">
        <f t="shared" si="2"/>
        <v>0</v>
      </c>
      <c r="L9" s="143">
        <f t="shared" si="3"/>
        <v>0</v>
      </c>
      <c r="M9" s="143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7"/>
      <c r="J10" s="94" t="str">
        <f t="shared" si="1"/>
        <v>Item 5</v>
      </c>
      <c r="K10" s="143">
        <f t="shared" si="2"/>
        <v>0</v>
      </c>
      <c r="L10" s="143">
        <f t="shared" si="3"/>
        <v>0</v>
      </c>
      <c r="M10" s="143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7"/>
      <c r="J11" s="94" t="str">
        <f t="shared" si="1"/>
        <v>Item 6</v>
      </c>
      <c r="K11" s="143">
        <f t="shared" si="2"/>
        <v>0</v>
      </c>
      <c r="L11" s="143">
        <f t="shared" si="3"/>
        <v>0</v>
      </c>
      <c r="M11" s="143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7"/>
      <c r="J12" s="94" t="str">
        <f t="shared" si="1"/>
        <v>Item 7</v>
      </c>
      <c r="K12" s="143">
        <f t="shared" si="2"/>
        <v>0</v>
      </c>
      <c r="L12" s="143">
        <f t="shared" si="3"/>
        <v>0</v>
      </c>
      <c r="M12" s="143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7"/>
      <c r="J13" s="94" t="str">
        <f t="shared" si="1"/>
        <v>Item 8</v>
      </c>
      <c r="K13" s="143">
        <f t="shared" si="2"/>
        <v>0</v>
      </c>
      <c r="L13" s="143">
        <f t="shared" si="3"/>
        <v>0</v>
      </c>
      <c r="M13" s="143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7"/>
      <c r="J14" s="94" t="str">
        <f t="shared" si="1"/>
        <v>Item 9</v>
      </c>
      <c r="K14" s="143">
        <f t="shared" si="2"/>
        <v>0</v>
      </c>
      <c r="L14" s="143">
        <f t="shared" si="3"/>
        <v>0</v>
      </c>
      <c r="M14" s="143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7"/>
      <c r="J15" s="94" t="str">
        <f t="shared" si="1"/>
        <v>Item 10</v>
      </c>
      <c r="K15" s="143">
        <f t="shared" si="2"/>
        <v>0</v>
      </c>
      <c r="L15" s="143">
        <f t="shared" si="3"/>
        <v>0</v>
      </c>
      <c r="M15" s="143">
        <f t="shared" si="4"/>
        <v>0</v>
      </c>
    </row>
    <row r="16" spans="5:13">
      <c r="E16" s="99" t="s">
        <v>8</v>
      </c>
      <c r="F16" s="99">
        <f>SUM(F6:F15)</f>
        <v>3241782</v>
      </c>
      <c r="G16" s="99">
        <f>SUM(G6:G15)</f>
        <v>3890138.4</v>
      </c>
      <c r="H16" s="99">
        <f>SUM(H6:H15)</f>
        <v>4473659.1599999992</v>
      </c>
      <c r="I16" s="131"/>
      <c r="J16" s="142"/>
      <c r="K16" s="142"/>
      <c r="L16" s="142"/>
      <c r="M16" s="142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1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6"/>
      <c r="J19" s="63"/>
      <c r="K19" s="126"/>
      <c r="L19" s="126"/>
      <c r="M19" s="126"/>
    </row>
    <row r="20" spans="5:13">
      <c r="E20" s="108" t="s">
        <v>55</v>
      </c>
      <c r="F20" s="109">
        <v>0</v>
      </c>
      <c r="G20" s="109">
        <f>G5</f>
        <v>0.2</v>
      </c>
      <c r="H20" s="109">
        <f>H5</f>
        <v>0.15</v>
      </c>
      <c r="I20" s="125"/>
      <c r="K20" s="125"/>
      <c r="L20" s="125"/>
      <c r="M20" s="125"/>
    </row>
    <row r="21" spans="5:13">
      <c r="E21" s="94" t="str">
        <f>E6</f>
        <v>Medical Staffing Fees</v>
      </c>
      <c r="F21" s="94">
        <f>SUM(Inputs!C51:N51)</f>
        <v>1921056</v>
      </c>
      <c r="G21" s="94">
        <f t="shared" ref="G21:H30" si="5">F21*(1+G$20)</f>
        <v>2305267.1999999997</v>
      </c>
      <c r="H21" s="94">
        <f t="shared" si="5"/>
        <v>2651057.2799999993</v>
      </c>
      <c r="I21" s="127"/>
      <c r="J21" s="127"/>
      <c r="K21" s="127"/>
      <c r="L21" s="127"/>
      <c r="M21" s="127"/>
    </row>
    <row r="22" spans="5:13">
      <c r="E22" s="94" t="str">
        <f t="shared" ref="E22:E30" si="6">E7</f>
        <v>Placement Fees</v>
      </c>
      <c r="F22" s="94">
        <f>SUM(Inputs!C52:N52)</f>
        <v>42023.100000000006</v>
      </c>
      <c r="G22" s="94">
        <f t="shared" si="5"/>
        <v>50427.720000000008</v>
      </c>
      <c r="H22" s="94">
        <f t="shared" si="5"/>
        <v>57991.878000000004</v>
      </c>
      <c r="I22" s="127"/>
      <c r="J22" s="127"/>
      <c r="K22" s="127"/>
      <c r="L22" s="127"/>
      <c r="M22" s="127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27"/>
      <c r="J23" s="127"/>
      <c r="K23" s="127"/>
      <c r="L23" s="127"/>
      <c r="M23" s="127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7"/>
      <c r="J24" s="127"/>
      <c r="K24" s="127"/>
      <c r="L24" s="127"/>
      <c r="M24" s="127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7"/>
      <c r="J25" s="127"/>
      <c r="K25" s="127"/>
      <c r="L25" s="127"/>
      <c r="M25" s="127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7"/>
      <c r="J26" s="127"/>
      <c r="K26" s="127"/>
      <c r="L26" s="127"/>
      <c r="M26" s="127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7"/>
      <c r="J27" s="127"/>
      <c r="K27" s="127"/>
      <c r="L27" s="127"/>
      <c r="M27" s="127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7"/>
      <c r="J28" s="127"/>
      <c r="K28" s="127"/>
      <c r="L28" s="127"/>
      <c r="M28" s="127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7"/>
      <c r="J29" s="127"/>
      <c r="K29" s="127"/>
      <c r="L29" s="127"/>
      <c r="M29" s="127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7"/>
      <c r="J30" s="127"/>
      <c r="K30" s="127"/>
      <c r="L30" s="127"/>
      <c r="M30" s="127"/>
    </row>
    <row r="31" spans="5:13">
      <c r="E31" s="100" t="s">
        <v>8</v>
      </c>
      <c r="F31" s="100">
        <f>SUM(F21:F30)</f>
        <v>1963079.1</v>
      </c>
      <c r="G31" s="100">
        <f>SUM(G21:G30)</f>
        <v>2355694.92</v>
      </c>
      <c r="H31" s="100">
        <f>SUM(H21:H30)</f>
        <v>2709049.1579999994</v>
      </c>
      <c r="I31" s="127"/>
      <c r="J31" s="127"/>
      <c r="K31" s="127"/>
      <c r="L31" s="127"/>
      <c r="M31" s="127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E22" sqref="E22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130</v>
      </c>
      <c r="E6" s="6">
        <v>25000</v>
      </c>
    </row>
    <row r="7" spans="4:5">
      <c r="D7" s="21" t="s">
        <v>117</v>
      </c>
      <c r="E7" s="6">
        <v>200000</v>
      </c>
    </row>
    <row r="8" spans="4:5">
      <c r="D8" s="21" t="s">
        <v>116</v>
      </c>
      <c r="E8" s="6">
        <v>35000</v>
      </c>
    </row>
    <row r="9" spans="4:5">
      <c r="D9" s="21" t="s">
        <v>0</v>
      </c>
      <c r="E9" s="6">
        <v>40000</v>
      </c>
    </row>
    <row r="10" spans="4:5">
      <c r="D10" s="21"/>
      <c r="E10" s="6"/>
    </row>
    <row r="11" spans="4:5">
      <c r="D11" s="21"/>
      <c r="E11" s="6"/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300000</v>
      </c>
    </row>
    <row r="20" spans="4:5">
      <c r="D20" s="7" t="s">
        <v>97</v>
      </c>
      <c r="E20" s="3"/>
    </row>
    <row r="21" spans="4:5">
      <c r="D21" s="4" t="s">
        <v>98</v>
      </c>
      <c r="E21" s="14">
        <v>50000</v>
      </c>
    </row>
    <row r="22" spans="4:5">
      <c r="D22" s="4" t="s">
        <v>99</v>
      </c>
      <c r="E22" s="14">
        <v>250000</v>
      </c>
    </row>
    <row r="23" spans="4:5">
      <c r="D23" s="4" t="s">
        <v>100</v>
      </c>
      <c r="E23" s="14">
        <f>SUM(E21:E22)</f>
        <v>300000</v>
      </c>
    </row>
    <row r="27" spans="4:5">
      <c r="D27" s="112"/>
    </row>
    <row r="28" spans="4:5">
      <c r="D28" s="120"/>
      <c r="E28" s="1"/>
    </row>
    <row r="29" spans="4:5">
      <c r="D29" s="120"/>
      <c r="E29" s="1"/>
    </row>
    <row r="30" spans="4:5">
      <c r="D30" s="120"/>
      <c r="E30" s="1"/>
    </row>
    <row r="31" spans="4:5">
      <c r="D31" s="120"/>
      <c r="E31" s="1"/>
    </row>
    <row r="32" spans="4:5">
      <c r="D32" s="120"/>
      <c r="E32" s="1"/>
    </row>
    <row r="33" spans="4:5">
      <c r="D33" s="120"/>
      <c r="E33" s="1"/>
    </row>
    <row r="34" spans="4:5">
      <c r="D34" s="120"/>
      <c r="E34" s="1"/>
    </row>
    <row r="35" spans="4:5">
      <c r="D35" s="120"/>
      <c r="E35" s="1"/>
    </row>
    <row r="36" spans="4:5">
      <c r="D36" s="120"/>
      <c r="E36" s="1"/>
    </row>
    <row r="37" spans="4:5">
      <c r="D37" s="120"/>
      <c r="E37" s="1"/>
    </row>
    <row r="38" spans="4:5">
      <c r="D38" s="121"/>
      <c r="E38" s="122"/>
    </row>
    <row r="40" spans="4:5">
      <c r="D40" s="112"/>
    </row>
    <row r="41" spans="4:5">
      <c r="D41" s="120"/>
      <c r="E41" s="1"/>
    </row>
    <row r="42" spans="4:5">
      <c r="D42" s="120"/>
      <c r="E42" s="1"/>
    </row>
    <row r="43" spans="4:5">
      <c r="D43" s="120"/>
      <c r="E43" s="1"/>
    </row>
    <row r="44" spans="4:5">
      <c r="D44" s="120"/>
      <c r="E44" s="1"/>
    </row>
    <row r="45" spans="4:5">
      <c r="D45" s="120"/>
      <c r="E45" s="1"/>
    </row>
    <row r="46" spans="4:5">
      <c r="D46" s="120"/>
      <c r="E46" s="1"/>
    </row>
    <row r="47" spans="4:5">
      <c r="D47" s="120"/>
      <c r="E47" s="1"/>
    </row>
    <row r="48" spans="4:5">
      <c r="D48" s="120"/>
      <c r="E48" s="1"/>
    </row>
    <row r="49" spans="4:5">
      <c r="D49" s="120"/>
      <c r="E49" s="1"/>
    </row>
    <row r="50" spans="4:5">
      <c r="D50" s="120"/>
      <c r="E50" s="1"/>
    </row>
    <row r="51" spans="4:5">
      <c r="D51" s="121"/>
      <c r="E51" s="12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workbookViewId="0">
      <selection activeCell="G31" sqref="G31"/>
    </sheetView>
  </sheetViews>
  <sheetFormatPr defaultRowHeight="15"/>
  <cols>
    <col min="4" max="4" width="27.71093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4"/>
      <c r="I5" s="134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3241782</v>
      </c>
      <c r="F6" s="69">
        <f>'Revenue Overview'!G16</f>
        <v>3890138.4</v>
      </c>
      <c r="G6" s="81">
        <f>'Revenue Overview'!H16</f>
        <v>4473659.1599999992</v>
      </c>
      <c r="H6" s="135"/>
      <c r="I6" s="13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1963079.1</v>
      </c>
      <c r="F7" s="71">
        <f>'Revenue Overview'!G31</f>
        <v>2355694.92</v>
      </c>
      <c r="G7" s="80">
        <f>'Revenue Overview'!H31</f>
        <v>2709049.1579999994</v>
      </c>
      <c r="H7" s="136"/>
      <c r="I7" s="136"/>
      <c r="J7" s="115"/>
      <c r="K7" s="112" t="s">
        <v>51</v>
      </c>
      <c r="L7" s="114">
        <f>E6</f>
        <v>3241782</v>
      </c>
      <c r="M7" s="114">
        <f>F6</f>
        <v>3890138.4</v>
      </c>
      <c r="N7" s="114">
        <f>G6</f>
        <v>4473659.1599999992</v>
      </c>
      <c r="O7" s="114"/>
      <c r="P7" s="137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0.39444444444444438</v>
      </c>
      <c r="F8" s="73">
        <f t="shared" ref="F8:G8" si="0">1-(F7/F6)</f>
        <v>0.39444444444444449</v>
      </c>
      <c r="G8" s="133">
        <f t="shared" si="0"/>
        <v>0.39444444444444449</v>
      </c>
      <c r="H8" s="138"/>
      <c r="I8" s="138"/>
      <c r="J8" s="115"/>
      <c r="K8" s="112" t="s">
        <v>76</v>
      </c>
      <c r="L8" s="114">
        <f>E6</f>
        <v>3241782</v>
      </c>
      <c r="M8" s="114">
        <f>F6</f>
        <v>3890138.4</v>
      </c>
      <c r="N8" s="114">
        <f>G6</f>
        <v>4473659.1599999992</v>
      </c>
      <c r="O8" s="114"/>
      <c r="P8" s="137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39"/>
      <c r="I9" s="139"/>
      <c r="J9" s="115"/>
      <c r="K9" s="112"/>
      <c r="L9" s="114"/>
      <c r="M9" s="114"/>
      <c r="N9" s="114"/>
      <c r="O9" s="114"/>
      <c r="P9" s="137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1278702.8999999999</v>
      </c>
      <c r="F10" s="76">
        <f t="shared" ref="F10:G10" si="1">F6-F7</f>
        <v>1534443.48</v>
      </c>
      <c r="G10" s="84">
        <f t="shared" si="1"/>
        <v>1764610.0019999999</v>
      </c>
      <c r="H10" s="135"/>
      <c r="I10" s="135"/>
      <c r="J10" s="115"/>
      <c r="K10" s="112" t="s">
        <v>47</v>
      </c>
      <c r="L10" s="114">
        <f>E23</f>
        <v>273810.45219999994</v>
      </c>
      <c r="M10" s="114">
        <f>F23</f>
        <v>471749.14264000021</v>
      </c>
      <c r="N10" s="114">
        <f>G23</f>
        <v>644591.12203600002</v>
      </c>
      <c r="O10" s="114"/>
      <c r="P10" s="137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39"/>
      <c r="I11" s="139"/>
      <c r="J11" s="115"/>
      <c r="K11" s="112" t="s">
        <v>77</v>
      </c>
      <c r="L11" s="114">
        <f>L10</f>
        <v>273810.45219999994</v>
      </c>
      <c r="M11" s="114">
        <f t="shared" ref="M11:N11" si="2">M10</f>
        <v>471749.14264000021</v>
      </c>
      <c r="N11" s="114">
        <f t="shared" si="2"/>
        <v>644591.12203600002</v>
      </c>
      <c r="O11" s="114"/>
      <c r="P11" s="137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39"/>
      <c r="I12" s="139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720000</v>
      </c>
      <c r="F13" s="78">
        <f>'Personnel - Editable'!I16</f>
        <v>741600</v>
      </c>
      <c r="G13" s="78">
        <f>'Personnel - Editable'!J16</f>
        <v>763848</v>
      </c>
      <c r="H13" s="136"/>
      <c r="I13" s="136"/>
      <c r="J13" s="115"/>
      <c r="K13" s="112" t="s">
        <v>75</v>
      </c>
      <c r="L13" s="114">
        <f>E21</f>
        <v>1004892.4478</v>
      </c>
      <c r="M13" s="114">
        <f>F21</f>
        <v>1062694.3373599998</v>
      </c>
      <c r="N13" s="114">
        <f>G21</f>
        <v>1120018.8799639998</v>
      </c>
      <c r="O13" s="114"/>
      <c r="P13" s="137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35000</v>
      </c>
      <c r="F14" s="80">
        <f>Inputs!D18</f>
        <v>36050</v>
      </c>
      <c r="G14" s="80">
        <f>Inputs!E18</f>
        <v>37131.5</v>
      </c>
      <c r="H14" s="136"/>
      <c r="I14" s="136"/>
      <c r="J14" s="115"/>
      <c r="K14" s="112" t="s">
        <v>78</v>
      </c>
      <c r="L14" s="114">
        <f>E21</f>
        <v>1004892.4478</v>
      </c>
      <c r="M14" s="114">
        <f>F21</f>
        <v>1062694.3373599998</v>
      </c>
      <c r="N14" s="114">
        <f>G21</f>
        <v>1120018.8799639998</v>
      </c>
      <c r="O14" s="114"/>
      <c r="P14" s="137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50895.977399999996</v>
      </c>
      <c r="F15" s="78">
        <f>Inputs!D19</f>
        <v>61075.172879999991</v>
      </c>
      <c r="G15" s="78">
        <f>Inputs!E19</f>
        <v>70236.448811999988</v>
      </c>
      <c r="H15" s="136"/>
      <c r="I15" s="136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Costs</v>
      </c>
      <c r="E16" s="80">
        <f>Inputs!C20</f>
        <v>49275.0864</v>
      </c>
      <c r="F16" s="80">
        <f>Inputs!D20</f>
        <v>59130.10368</v>
      </c>
      <c r="G16" s="80">
        <f>Inputs!E20</f>
        <v>67999.619231999983</v>
      </c>
      <c r="H16" s="136"/>
      <c r="I16" s="136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43200</v>
      </c>
      <c r="F17" s="78">
        <f>Inputs!D21</f>
        <v>44496</v>
      </c>
      <c r="G17" s="78">
        <f>Inputs!E21</f>
        <v>45830.879999999997</v>
      </c>
      <c r="H17" s="136"/>
      <c r="I17" s="136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38901.383999999998</v>
      </c>
      <c r="F18" s="80">
        <f>Inputs!D22</f>
        <v>46681.660799999998</v>
      </c>
      <c r="G18" s="80">
        <f>Inputs!E22</f>
        <v>53683.909919999991</v>
      </c>
      <c r="H18" s="136"/>
      <c r="I18" s="136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12540</v>
      </c>
      <c r="F19" s="78">
        <f>Inputs!D23</f>
        <v>16929</v>
      </c>
      <c r="G19" s="78">
        <f>Inputs!E23</f>
        <v>22854.15</v>
      </c>
      <c r="H19" s="136"/>
      <c r="I19" s="136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55080</v>
      </c>
      <c r="F20" s="80">
        <f>F13*'Tax Assumptions '!G9</f>
        <v>56732.4</v>
      </c>
      <c r="G20" s="80">
        <f>G13*'Tax Assumptions '!H9</f>
        <v>58434.371999999996</v>
      </c>
      <c r="H20" s="136"/>
      <c r="I20" s="136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1004892.4478</v>
      </c>
      <c r="F21" s="81">
        <f t="shared" ref="F21:G21" si="3">SUM(F13:F20)</f>
        <v>1062694.3373599998</v>
      </c>
      <c r="G21" s="81">
        <f t="shared" si="3"/>
        <v>1120018.8799639998</v>
      </c>
      <c r="H21" s="135"/>
      <c r="I21" s="13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39"/>
      <c r="I22" s="13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273810.45219999994</v>
      </c>
      <c r="F23" s="83">
        <f t="shared" ref="F23:G23" si="4">F10-F21</f>
        <v>471749.14264000021</v>
      </c>
      <c r="G23" s="83">
        <f t="shared" si="4"/>
        <v>644591.12203600002</v>
      </c>
      <c r="H23" s="135"/>
      <c r="I23" s="13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61719.373502383693</v>
      </c>
      <c r="F24" s="78">
        <f>(F23-F26-F27)*'Tax Assumptions '!G7</f>
        <v>111527.53673451343</v>
      </c>
      <c r="G24" s="78">
        <f>(G23-G26-G27)*'Tax Assumptions '!H7</f>
        <v>155084.90736887304</v>
      </c>
      <c r="H24" s="136"/>
      <c r="I24" s="136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102</v>
      </c>
      <c r="E25" s="80">
        <f>(E23-E26-E27)*'Tax Assumptions '!F8</f>
        <v>12343.874700476739</v>
      </c>
      <c r="F25" s="80">
        <f>(F23-F26-F27)*'Tax Assumptions '!G8</f>
        <v>22305.507346902687</v>
      </c>
      <c r="G25" s="80">
        <f>(G23-G26-G27)*'Tax Assumptions '!H8</f>
        <v>31016.981473774609</v>
      </c>
      <c r="H25" s="136"/>
      <c r="I25" s="136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16932.958190465171</v>
      </c>
      <c r="F26" s="78">
        <f>SUM('Loan Amortization Table'!D26:D37)</f>
        <v>15638.995701946491</v>
      </c>
      <c r="G26" s="78">
        <f>SUM('Loan Amortization Table'!D38:D49)</f>
        <v>14251.492560507855</v>
      </c>
      <c r="H26" s="127"/>
      <c r="I26" s="127"/>
    </row>
    <row r="27" spans="4:21">
      <c r="D27" s="70" t="s">
        <v>54</v>
      </c>
      <c r="E27" s="80">
        <v>10000</v>
      </c>
      <c r="F27" s="80">
        <v>10000</v>
      </c>
      <c r="G27" s="80">
        <v>10000</v>
      </c>
      <c r="H27" s="127"/>
      <c r="I27" s="127"/>
    </row>
    <row r="28" spans="4:21">
      <c r="D28" s="82" t="s">
        <v>17</v>
      </c>
      <c r="E28" s="83">
        <f>E23-SUM(E24:E27)</f>
        <v>172814.24580667436</v>
      </c>
      <c r="F28" s="83">
        <f t="shared" ref="F28:G28" si="5">F23-SUM(F24:F27)</f>
        <v>312277.10285663756</v>
      </c>
      <c r="G28" s="83">
        <f t="shared" si="5"/>
        <v>434237.74063284451</v>
      </c>
      <c r="H28" s="131"/>
      <c r="I28" s="131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6"/>
      <c r="I31" s="126"/>
      <c r="K31" s="1"/>
      <c r="L31" s="1"/>
      <c r="M31" s="1"/>
    </row>
    <row r="32" spans="4:21">
      <c r="D32" s="68" t="s">
        <v>51</v>
      </c>
      <c r="E32" s="69">
        <f>E6</f>
        <v>3241782</v>
      </c>
      <c r="F32" s="69">
        <f t="shared" ref="F32:G32" si="6">F6</f>
        <v>3890138.4</v>
      </c>
      <c r="G32" s="81">
        <f t="shared" si="6"/>
        <v>4473659.1599999992</v>
      </c>
      <c r="H32" s="131"/>
      <c r="I32" s="131"/>
    </row>
    <row r="33" spans="4:13">
      <c r="D33" s="70" t="s">
        <v>52</v>
      </c>
      <c r="E33" s="71">
        <f>E7</f>
        <v>1963079.1</v>
      </c>
      <c r="F33" s="71">
        <f t="shared" ref="F33:G33" si="7">F7</f>
        <v>2355694.92</v>
      </c>
      <c r="G33" s="80">
        <f t="shared" si="7"/>
        <v>2709049.1579999994</v>
      </c>
      <c r="H33" s="127"/>
      <c r="I33" s="127"/>
    </row>
    <row r="34" spans="4:13">
      <c r="D34" s="68" t="s">
        <v>10</v>
      </c>
      <c r="E34" s="69">
        <f>E10</f>
        <v>1278702.8999999999</v>
      </c>
      <c r="F34" s="69">
        <f t="shared" ref="F34:G34" si="8">F10</f>
        <v>1534443.48</v>
      </c>
      <c r="G34" s="81">
        <f t="shared" si="8"/>
        <v>1764610.0019999999</v>
      </c>
      <c r="H34" s="131"/>
      <c r="I34" s="131"/>
      <c r="K34" s="1"/>
      <c r="L34" s="1"/>
      <c r="M34" s="1"/>
    </row>
    <row r="35" spans="4:13">
      <c r="D35" s="75" t="s">
        <v>13</v>
      </c>
      <c r="E35" s="84">
        <f>E21</f>
        <v>1004892.4478</v>
      </c>
      <c r="F35" s="84">
        <f t="shared" ref="F35:G35" si="9">F21</f>
        <v>1062694.3373599998</v>
      </c>
      <c r="G35" s="84">
        <f t="shared" si="9"/>
        <v>1120018.8799639998</v>
      </c>
      <c r="H35" s="131"/>
      <c r="I35" s="131"/>
    </row>
    <row r="36" spans="4:13">
      <c r="D36" s="82" t="s">
        <v>47</v>
      </c>
      <c r="E36" s="83">
        <f>E23</f>
        <v>273810.45219999994</v>
      </c>
      <c r="F36" s="83">
        <f t="shared" ref="F36:G36" si="10">F23</f>
        <v>471749.14264000021</v>
      </c>
      <c r="G36" s="83">
        <f t="shared" si="10"/>
        <v>644591.12203600002</v>
      </c>
      <c r="H36" s="131"/>
      <c r="I36" s="131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algorithmName="SHA-512" hashValue="/lTVZtFjS1jy886JSWHR0UNFL+zMizx7cnH40orRXsIdELbvnpxJP7o54UV7mjwevoQNmqUFZLz4mkmh3ibjjw==" saltValue="b8qVz1GOKvk6s41lE5K88g==" spinCount="100000" sheet="1" scenarios="1"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G25" sqref="G25"/>
    </sheetView>
  </sheetViews>
  <sheetFormatPr defaultRowHeight="15"/>
  <cols>
    <col min="4" max="4" width="23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6"/>
      <c r="I5" s="126"/>
    </row>
    <row r="6" spans="4:9">
      <c r="D6" s="68" t="s">
        <v>67</v>
      </c>
      <c r="E6" s="81">
        <f>'Profit and Loss Statement'!E28+'Profit and Loss Statement'!E27</f>
        <v>182814.24580667436</v>
      </c>
      <c r="F6" s="81">
        <f>'Profit and Loss Statement'!F28+'Profit and Loss Statement'!F27</f>
        <v>322277.10285663756</v>
      </c>
      <c r="G6" s="81">
        <f>'Profit and Loss Statement'!G28+'Profit and Loss Statement'!G27</f>
        <v>444237.74063284451</v>
      </c>
      <c r="H6" s="131"/>
      <c r="I6" s="131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50000</v>
      </c>
      <c r="F9" s="87">
        <v>0</v>
      </c>
      <c r="G9" s="87">
        <v>0</v>
      </c>
      <c r="H9" s="130"/>
      <c r="I9" s="130"/>
    </row>
    <row r="10" spans="4:9">
      <c r="D10" s="70" t="s">
        <v>21</v>
      </c>
      <c r="E10" s="88">
        <f>'Use of Funds'!E22</f>
        <v>250000</v>
      </c>
      <c r="F10" s="88">
        <v>0</v>
      </c>
      <c r="G10" s="88">
        <v>0</v>
      </c>
      <c r="H10" s="130"/>
      <c r="I10" s="130"/>
    </row>
    <row r="11" spans="4:9">
      <c r="D11" s="72" t="s">
        <v>22</v>
      </c>
      <c r="E11" s="78">
        <v>10000</v>
      </c>
      <c r="F11" s="78">
        <f>E11*1.02</f>
        <v>10200</v>
      </c>
      <c r="G11" s="78">
        <f>F11*1.02</f>
        <v>10404</v>
      </c>
      <c r="H11" s="127"/>
      <c r="I11" s="127"/>
    </row>
    <row r="12" spans="4:9">
      <c r="D12" s="75" t="s">
        <v>23</v>
      </c>
      <c r="E12" s="89">
        <f>SUM(E9:E11)</f>
        <v>310000</v>
      </c>
      <c r="F12" s="89">
        <f t="shared" ref="F12:G12" si="0">SUM(F9:F11)</f>
        <v>10200</v>
      </c>
      <c r="G12" s="89">
        <f t="shared" si="0"/>
        <v>10404</v>
      </c>
      <c r="H12" s="132"/>
      <c r="I12" s="132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492814.24580667436</v>
      </c>
      <c r="F15" s="90">
        <f t="shared" ref="F15:G15" si="1">F12+F6</f>
        <v>332477.10285663756</v>
      </c>
      <c r="G15" s="90">
        <f t="shared" si="1"/>
        <v>454641.74063284451</v>
      </c>
      <c r="H15" s="132"/>
      <c r="I15" s="132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17899.585575122044</v>
      </c>
      <c r="F18" s="80">
        <f>SUM('Loan Amortization Table'!C26:C37)</f>
        <v>19193.548063640723</v>
      </c>
      <c r="G18" s="80">
        <f>SUM('Loan Amortization Table'!C38:C49)</f>
        <v>20581.051205079362</v>
      </c>
      <c r="H18" s="127"/>
      <c r="I18" s="127"/>
    </row>
    <row r="19" spans="4:9">
      <c r="D19" s="72" t="s">
        <v>25</v>
      </c>
      <c r="E19" s="78">
        <f>E11*0.7</f>
        <v>7000</v>
      </c>
      <c r="F19" s="78">
        <f t="shared" ref="F19:G19" si="2">F11*0.7</f>
        <v>7140</v>
      </c>
      <c r="G19" s="78">
        <f t="shared" si="2"/>
        <v>7282.7999999999993</v>
      </c>
      <c r="H19" s="127"/>
      <c r="I19" s="127"/>
    </row>
    <row r="20" spans="4:9">
      <c r="D20" s="70" t="s">
        <v>33</v>
      </c>
      <c r="E20" s="80">
        <f>'Use of Funds'!$E$6</f>
        <v>25000</v>
      </c>
      <c r="F20" s="80">
        <f>F6*0.05</f>
        <v>16113.855142831879</v>
      </c>
      <c r="G20" s="80">
        <f>G6*0.05</f>
        <v>22211.887031642225</v>
      </c>
      <c r="H20" s="127"/>
      <c r="I20" s="127"/>
    </row>
    <row r="21" spans="4:9">
      <c r="D21" s="72" t="s">
        <v>32</v>
      </c>
      <c r="E21" s="78">
        <f>E6*0.7</f>
        <v>127969.97206467204</v>
      </c>
      <c r="F21" s="78">
        <f t="shared" ref="F21:G21" si="3">F6*0.7</f>
        <v>225593.97199964628</v>
      </c>
      <c r="G21" s="78">
        <f t="shared" si="3"/>
        <v>310966.41844299115</v>
      </c>
      <c r="H21" s="127"/>
      <c r="I21" s="127"/>
    </row>
    <row r="22" spans="4:9">
      <c r="D22" s="75" t="s">
        <v>26</v>
      </c>
      <c r="E22" s="84">
        <f>SUM(E18:E21)</f>
        <v>177869.55763979407</v>
      </c>
      <c r="F22" s="84">
        <f t="shared" ref="F22:G22" si="4">SUM(F18:F21)</f>
        <v>268041.37520611892</v>
      </c>
      <c r="G22" s="84">
        <f t="shared" si="4"/>
        <v>361042.15667971276</v>
      </c>
      <c r="H22" s="131"/>
      <c r="I22" s="131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314944.68816688028</v>
      </c>
      <c r="F24" s="91">
        <f t="shared" ref="F24:G24" si="5">F15-F22</f>
        <v>64435.727650518646</v>
      </c>
      <c r="G24" s="91">
        <f t="shared" si="5"/>
        <v>93599.583953131747</v>
      </c>
      <c r="H24" s="132"/>
      <c r="I24" s="132"/>
    </row>
    <row r="25" spans="4:9">
      <c r="D25" s="82" t="s">
        <v>6</v>
      </c>
      <c r="E25" s="91">
        <f>E24</f>
        <v>314944.68816688028</v>
      </c>
      <c r="F25" s="91">
        <f>E25+F24</f>
        <v>379380.41581739893</v>
      </c>
      <c r="G25" s="91">
        <f>F25+G24</f>
        <v>472979.99977053067</v>
      </c>
      <c r="H25" s="132"/>
      <c r="I25" s="132"/>
    </row>
    <row r="28" spans="4:9">
      <c r="D28" s="112" t="s">
        <v>79</v>
      </c>
      <c r="E28" s="114">
        <f>E6</f>
        <v>182814.24580667436</v>
      </c>
      <c r="F28" s="114">
        <f t="shared" ref="F28:G28" si="6">F6</f>
        <v>322277.10285663756</v>
      </c>
      <c r="G28" s="114">
        <f t="shared" si="6"/>
        <v>444237.74063284451</v>
      </c>
      <c r="H28" s="1"/>
      <c r="I28" s="1"/>
    </row>
    <row r="29" spans="4:9">
      <c r="D29" s="112" t="s">
        <v>80</v>
      </c>
      <c r="E29" s="114">
        <f>E18</f>
        <v>17899.585575122044</v>
      </c>
      <c r="F29" s="114">
        <f t="shared" ref="F29:G29" si="7">F18</f>
        <v>19193.548063640723</v>
      </c>
      <c r="G29" s="114">
        <f t="shared" si="7"/>
        <v>20581.051205079362</v>
      </c>
      <c r="H29" s="1"/>
      <c r="I29" s="1"/>
    </row>
    <row r="30" spans="4:9">
      <c r="D30" s="112" t="s">
        <v>81</v>
      </c>
      <c r="E30" s="114">
        <f>E21</f>
        <v>127969.97206467204</v>
      </c>
      <c r="F30" s="114">
        <f t="shared" ref="F30:G30" si="8">F21</f>
        <v>225593.97199964628</v>
      </c>
      <c r="G30" s="114">
        <f t="shared" si="8"/>
        <v>310966.41844299115</v>
      </c>
      <c r="H30" s="1"/>
      <c r="I30" s="1"/>
    </row>
  </sheetData>
  <sheetProtection algorithmName="SHA-512" hashValue="NuomY34JkLYvKZNOz28xN++6KNSNWaQJmwa2jTiqn1r7Y0KrxbxOwSC6DBF3Dy2GdBu/bELCCam0v/qb2dneBA==" saltValue="Otk9rcnhonnMqcOBpiVniA==" spinCount="100000" sheet="1" scenarios="1"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T10" sqref="T10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6"/>
      <c r="I5" s="126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314944.68816688028</v>
      </c>
      <c r="F7" s="78">
        <f>'Cash Flow Analysis'!F25</f>
        <v>379380.41581739893</v>
      </c>
      <c r="G7" s="78">
        <f>'Cash Flow Analysis'!G25</f>
        <v>472979.99977053067</v>
      </c>
      <c r="H7" s="127"/>
      <c r="I7" s="127"/>
    </row>
    <row r="8" spans="4:9">
      <c r="D8" s="66" t="s">
        <v>125</v>
      </c>
      <c r="E8" s="94">
        <f>'Cash Flow Analysis'!E20</f>
        <v>25000</v>
      </c>
      <c r="F8" s="94">
        <f>E8+'Cash Flow Analysis'!F20</f>
        <v>41113.855142831875</v>
      </c>
      <c r="G8" s="94">
        <f>F8+'Cash Flow Analysis'!G20</f>
        <v>63325.7421744741</v>
      </c>
      <c r="H8" s="127"/>
      <c r="I8" s="127"/>
    </row>
    <row r="9" spans="4:9">
      <c r="D9" s="72" t="s">
        <v>48</v>
      </c>
      <c r="E9" s="87">
        <f>-'Profit and Loss Statement'!E27</f>
        <v>-10000</v>
      </c>
      <c r="F9" s="87">
        <f>E9-'Profit and Loss Statement'!F27</f>
        <v>-20000</v>
      </c>
      <c r="G9" s="87">
        <f>F9-'Profit and Loss Statement'!G27</f>
        <v>-30000</v>
      </c>
      <c r="H9" s="130"/>
      <c r="I9" s="130"/>
    </row>
    <row r="10" spans="4:9">
      <c r="D10" s="95" t="s">
        <v>7</v>
      </c>
      <c r="E10" s="96">
        <f>SUM(E7:E9)</f>
        <v>329944.68816688028</v>
      </c>
      <c r="F10" s="96">
        <f t="shared" ref="F10:G10" si="0">SUM(F7:F9)</f>
        <v>400494.27096023079</v>
      </c>
      <c r="G10" s="96">
        <f t="shared" si="0"/>
        <v>506305.74194500479</v>
      </c>
      <c r="H10" s="131"/>
      <c r="I10" s="131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3000</v>
      </c>
      <c r="F13" s="78">
        <f>E13+('Cash Flow Analysis'!F11-'Cash Flow Analysis'!F19)</f>
        <v>6060</v>
      </c>
      <c r="G13" s="78">
        <f>F13+('Cash Flow Analysis'!G11-'Cash Flow Analysis'!G19)</f>
        <v>9181.2000000000007</v>
      </c>
      <c r="H13" s="127"/>
      <c r="I13" s="127"/>
    </row>
    <row r="14" spans="4:9">
      <c r="D14" s="66" t="s">
        <v>73</v>
      </c>
      <c r="E14" s="94">
        <f>'Loan Amortization Table'!E25</f>
        <v>232100.41442487796</v>
      </c>
      <c r="F14" s="94">
        <f>'Loan Amortization Table'!E37</f>
        <v>212906.86636123725</v>
      </c>
      <c r="G14" s="94">
        <f>'Loan Amortization Table'!E49</f>
        <v>192325.81515615789</v>
      </c>
      <c r="H14" s="127"/>
      <c r="I14" s="127"/>
    </row>
    <row r="15" spans="4:9">
      <c r="D15" s="68" t="s">
        <v>30</v>
      </c>
      <c r="E15" s="81">
        <f>SUM(E13:E14)</f>
        <v>235100.41442487796</v>
      </c>
      <c r="F15" s="81">
        <f t="shared" ref="F15:G15" si="1">SUM(F13:F14)</f>
        <v>218966.86636123725</v>
      </c>
      <c r="G15" s="81">
        <f t="shared" si="1"/>
        <v>201507.0151561579</v>
      </c>
      <c r="H15" s="131"/>
      <c r="I15" s="131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94844.273742002319</v>
      </c>
      <c r="F17" s="83">
        <f t="shared" ref="F17:G17" si="2">F10-F15</f>
        <v>181527.40459899354</v>
      </c>
      <c r="G17" s="83">
        <f t="shared" si="2"/>
        <v>304798.72678884689</v>
      </c>
      <c r="H17" s="131"/>
      <c r="I17" s="131"/>
    </row>
    <row r="18" spans="4:9">
      <c r="D18" s="82" t="s">
        <v>31</v>
      </c>
      <c r="E18" s="83">
        <f>E15+E17</f>
        <v>329944.68816688028</v>
      </c>
      <c r="F18" s="83">
        <f t="shared" ref="F18:G18" si="3">F15+F17</f>
        <v>400494.27096023079</v>
      </c>
      <c r="G18" s="83">
        <f t="shared" si="3"/>
        <v>506305.74194500479</v>
      </c>
      <c r="H18" s="131"/>
      <c r="I18" s="131"/>
    </row>
    <row r="21" spans="4:9">
      <c r="D21" s="112" t="s">
        <v>82</v>
      </c>
      <c r="E21" s="114">
        <f>E10-1</f>
        <v>329943.68816688028</v>
      </c>
      <c r="F21" s="114">
        <f t="shared" ref="F21:G21" si="4">F10-1</f>
        <v>400493.27096023079</v>
      </c>
      <c r="G21" s="114">
        <f t="shared" si="4"/>
        <v>506304.74194500479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235100.41442487796</v>
      </c>
      <c r="F22" s="114">
        <f t="shared" ref="F22:G22" si="6">F15</f>
        <v>218966.86636123725</v>
      </c>
      <c r="G22" s="114">
        <f t="shared" si="6"/>
        <v>201507.0151561579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94844.273742002319</v>
      </c>
      <c r="F23" s="114">
        <f t="shared" ref="F23:G23" si="8">F17</f>
        <v>181527.40459899354</v>
      </c>
      <c r="G23" s="114">
        <f t="shared" si="8"/>
        <v>304798.72678884689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workbookViewId="0">
      <selection activeCell="T6" sqref="T6"/>
    </sheetView>
  </sheetViews>
  <sheetFormatPr defaultRowHeight="15"/>
  <cols>
    <col min="2" max="2" width="29.710937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270000</v>
      </c>
      <c r="D6" s="6">
        <f>Inputs!D42</f>
        <v>270027</v>
      </c>
      <c r="E6" s="6">
        <f>Inputs!E42</f>
        <v>270054</v>
      </c>
      <c r="F6" s="6">
        <f>Inputs!F42</f>
        <v>270081</v>
      </c>
      <c r="G6" s="6">
        <f>Inputs!G42</f>
        <v>270108</v>
      </c>
      <c r="H6" s="6">
        <f>Inputs!H42</f>
        <v>270135</v>
      </c>
      <c r="I6" s="6">
        <f>Inputs!I42</f>
        <v>270162</v>
      </c>
    </row>
    <row r="7" spans="2:9">
      <c r="B7" s="31" t="s">
        <v>52</v>
      </c>
      <c r="C7" s="6">
        <f>Inputs!C61</f>
        <v>163500</v>
      </c>
      <c r="D7" s="6">
        <f>Inputs!D61</f>
        <v>163516.35</v>
      </c>
      <c r="E7" s="6">
        <f>Inputs!E61</f>
        <v>163532.70000000001</v>
      </c>
      <c r="F7" s="6">
        <f>Inputs!F61</f>
        <v>163549.04999999999</v>
      </c>
      <c r="G7" s="6">
        <f>Inputs!G61</f>
        <v>163565.4</v>
      </c>
      <c r="H7" s="6">
        <f>Inputs!H61</f>
        <v>163581.75</v>
      </c>
      <c r="I7" s="6">
        <f>Inputs!I61</f>
        <v>163598.1</v>
      </c>
    </row>
    <row r="8" spans="2:9">
      <c r="B8" s="29" t="s">
        <v>12</v>
      </c>
      <c r="C8" s="17">
        <f>1-(C7/C6)</f>
        <v>0.39444444444444449</v>
      </c>
      <c r="D8" s="17">
        <f t="shared" ref="D8:I8" si="1">1-(D7/D6)</f>
        <v>0.39444444444444438</v>
      </c>
      <c r="E8" s="17">
        <f t="shared" si="1"/>
        <v>0.39444444444444438</v>
      </c>
      <c r="F8" s="17">
        <f t="shared" si="1"/>
        <v>0.39444444444444449</v>
      </c>
      <c r="G8" s="17">
        <f t="shared" si="1"/>
        <v>0.39444444444444449</v>
      </c>
      <c r="H8" s="17">
        <f t="shared" si="1"/>
        <v>0.39444444444444449</v>
      </c>
      <c r="I8" s="17">
        <f t="shared" si="1"/>
        <v>0.39444444444444438</v>
      </c>
    </row>
    <row r="9" spans="2:9">
      <c r="B9" s="30"/>
    </row>
    <row r="10" spans="2:9">
      <c r="B10" s="37" t="s">
        <v>10</v>
      </c>
      <c r="C10" s="6">
        <f>C6-C7</f>
        <v>106500</v>
      </c>
      <c r="D10" s="6">
        <f t="shared" ref="D10:I10" si="2">D6-D7</f>
        <v>106510.65</v>
      </c>
      <c r="E10" s="6">
        <f t="shared" si="2"/>
        <v>106521.29999999999</v>
      </c>
      <c r="F10" s="6">
        <f t="shared" si="2"/>
        <v>106531.95000000001</v>
      </c>
      <c r="G10" s="6">
        <f t="shared" si="2"/>
        <v>106542.6</v>
      </c>
      <c r="H10" s="6">
        <f t="shared" si="2"/>
        <v>106553.25</v>
      </c>
      <c r="I10" s="6">
        <f t="shared" si="2"/>
        <v>106563.9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60000</v>
      </c>
      <c r="D13" s="6">
        <f t="shared" ref="D13:I13" si="3">$H$41/12</f>
        <v>60000</v>
      </c>
      <c r="E13" s="6">
        <f t="shared" si="3"/>
        <v>60000</v>
      </c>
      <c r="F13" s="6">
        <f t="shared" si="3"/>
        <v>60000</v>
      </c>
      <c r="G13" s="6">
        <f t="shared" si="3"/>
        <v>60000</v>
      </c>
      <c r="H13" s="6">
        <f t="shared" si="3"/>
        <v>60000</v>
      </c>
      <c r="I13" s="6">
        <f t="shared" si="3"/>
        <v>60000</v>
      </c>
    </row>
    <row r="14" spans="2:9">
      <c r="B14" s="33" t="str">
        <f>'Profit and Loss Statement'!D14</f>
        <v>Facility Costs</v>
      </c>
      <c r="C14" s="6">
        <f>$H$42/12</f>
        <v>2916.6666666666665</v>
      </c>
      <c r="D14" s="6">
        <f t="shared" ref="D14:I14" si="4">$H$42/12</f>
        <v>2916.6666666666665</v>
      </c>
      <c r="E14" s="6">
        <f t="shared" si="4"/>
        <v>2916.6666666666665</v>
      </c>
      <c r="F14" s="6">
        <f t="shared" si="4"/>
        <v>2916.6666666666665</v>
      </c>
      <c r="G14" s="6">
        <f t="shared" si="4"/>
        <v>2916.6666666666665</v>
      </c>
      <c r="H14" s="6">
        <f t="shared" si="4"/>
        <v>2916.6666666666665</v>
      </c>
      <c r="I14" s="6">
        <f t="shared" si="4"/>
        <v>2916.6666666666665</v>
      </c>
    </row>
    <row r="15" spans="2:9">
      <c r="B15" s="33" t="str">
        <f>'Profit and Loss Statement'!D15</f>
        <v>General and Administrative</v>
      </c>
      <c r="C15" s="6">
        <f>$H$43/12</f>
        <v>4241.3314499999997</v>
      </c>
      <c r="D15" s="6">
        <f t="shared" ref="D15:I15" si="5">$H$43/12</f>
        <v>4241.3314499999997</v>
      </c>
      <c r="E15" s="6">
        <f t="shared" si="5"/>
        <v>4241.3314499999997</v>
      </c>
      <c r="F15" s="6">
        <f t="shared" si="5"/>
        <v>4241.3314499999997</v>
      </c>
      <c r="G15" s="6">
        <f t="shared" si="5"/>
        <v>4241.3314499999997</v>
      </c>
      <c r="H15" s="6">
        <f t="shared" si="5"/>
        <v>4241.3314499999997</v>
      </c>
      <c r="I15" s="6">
        <f t="shared" si="5"/>
        <v>4241.3314499999997</v>
      </c>
    </row>
    <row r="16" spans="2:9">
      <c r="B16" s="33" t="str">
        <f>'Profit and Loss Statement'!D16</f>
        <v>Equipment Costs</v>
      </c>
      <c r="C16" s="6">
        <f>$H$44/12</f>
        <v>4106.2572</v>
      </c>
      <c r="D16" s="6">
        <f t="shared" ref="D16:I16" si="6">$H$44/12</f>
        <v>4106.2572</v>
      </c>
      <c r="E16" s="6">
        <f t="shared" si="6"/>
        <v>4106.2572</v>
      </c>
      <c r="F16" s="6">
        <f t="shared" si="6"/>
        <v>4106.2572</v>
      </c>
      <c r="G16" s="6">
        <f t="shared" si="6"/>
        <v>4106.2572</v>
      </c>
      <c r="H16" s="6">
        <f t="shared" si="6"/>
        <v>4106.2572</v>
      </c>
      <c r="I16" s="6">
        <f t="shared" si="6"/>
        <v>4106.2572</v>
      </c>
    </row>
    <row r="17" spans="2:9">
      <c r="B17" s="33" t="str">
        <f>'Profit and Loss Statement'!D17</f>
        <v>Insurance Costs</v>
      </c>
      <c r="C17" s="6">
        <f>$H$45/12</f>
        <v>3600</v>
      </c>
      <c r="D17" s="6">
        <f t="shared" ref="D17:I17" si="7">$H$45/12</f>
        <v>3600</v>
      </c>
      <c r="E17" s="6">
        <f t="shared" si="7"/>
        <v>3600</v>
      </c>
      <c r="F17" s="6">
        <f t="shared" si="7"/>
        <v>3600</v>
      </c>
      <c r="G17" s="6">
        <f t="shared" si="7"/>
        <v>3600</v>
      </c>
      <c r="H17" s="6">
        <f t="shared" si="7"/>
        <v>3600</v>
      </c>
      <c r="I17" s="6">
        <f t="shared" si="7"/>
        <v>3600</v>
      </c>
    </row>
    <row r="18" spans="2:9">
      <c r="B18" s="33" t="str">
        <f>'Profit and Loss Statement'!D18</f>
        <v>Marketing</v>
      </c>
      <c r="C18" s="6">
        <f>$H$46/12</f>
        <v>3241.7819999999997</v>
      </c>
      <c r="D18" s="6">
        <f t="shared" ref="D18:I18" si="8">$H$46/12</f>
        <v>3241.7819999999997</v>
      </c>
      <c r="E18" s="6">
        <f t="shared" si="8"/>
        <v>3241.7819999999997</v>
      </c>
      <c r="F18" s="6">
        <f t="shared" si="8"/>
        <v>3241.7819999999997</v>
      </c>
      <c r="G18" s="6">
        <f t="shared" si="8"/>
        <v>3241.7819999999997</v>
      </c>
      <c r="H18" s="6">
        <f t="shared" si="8"/>
        <v>3241.7819999999997</v>
      </c>
      <c r="I18" s="6">
        <f t="shared" si="8"/>
        <v>3241.7819999999997</v>
      </c>
    </row>
    <row r="19" spans="2:9">
      <c r="B19" s="33" t="str">
        <f>'Profit and Loss Statement'!D19</f>
        <v>Professional Fees and Licensure</v>
      </c>
      <c r="C19" s="6">
        <f>$H$47/12</f>
        <v>1045</v>
      </c>
      <c r="D19" s="6">
        <f t="shared" ref="D19:I19" si="9">$H$47/12</f>
        <v>1045</v>
      </c>
      <c r="E19" s="6">
        <f t="shared" si="9"/>
        <v>1045</v>
      </c>
      <c r="F19" s="6">
        <f t="shared" si="9"/>
        <v>1045</v>
      </c>
      <c r="G19" s="6">
        <f t="shared" si="9"/>
        <v>1045</v>
      </c>
      <c r="H19" s="6">
        <f t="shared" si="9"/>
        <v>1045</v>
      </c>
      <c r="I19" s="6">
        <f t="shared" si="9"/>
        <v>1045</v>
      </c>
    </row>
    <row r="20" spans="2:9">
      <c r="B20" s="29" t="s">
        <v>14</v>
      </c>
      <c r="C20" s="6">
        <f>$H$48/12</f>
        <v>4590</v>
      </c>
      <c r="D20" s="6">
        <f t="shared" ref="D20:I20" si="10">$H$48/12</f>
        <v>4590</v>
      </c>
      <c r="E20" s="6">
        <f t="shared" si="10"/>
        <v>4590</v>
      </c>
      <c r="F20" s="6">
        <f t="shared" si="10"/>
        <v>4590</v>
      </c>
      <c r="G20" s="6">
        <f t="shared" si="10"/>
        <v>4590</v>
      </c>
      <c r="H20" s="6">
        <f t="shared" si="10"/>
        <v>4590</v>
      </c>
      <c r="I20" s="6">
        <f t="shared" si="10"/>
        <v>4590</v>
      </c>
    </row>
    <row r="21" spans="2:9">
      <c r="B21" s="28" t="s">
        <v>8</v>
      </c>
      <c r="C21" s="6">
        <f>SUM(C13:C20)</f>
        <v>83741.037316666683</v>
      </c>
      <c r="D21" s="6">
        <f t="shared" ref="D21:I21" si="11">SUM(D13:D20)</f>
        <v>83741.037316666683</v>
      </c>
      <c r="E21" s="6">
        <f t="shared" si="11"/>
        <v>83741.037316666683</v>
      </c>
      <c r="F21" s="6">
        <f t="shared" si="11"/>
        <v>83741.037316666683</v>
      </c>
      <c r="G21" s="6">
        <f t="shared" si="11"/>
        <v>83741.037316666683</v>
      </c>
      <c r="H21" s="6">
        <f t="shared" si="11"/>
        <v>83741.037316666683</v>
      </c>
      <c r="I21" s="6">
        <f t="shared" si="11"/>
        <v>83741.037316666683</v>
      </c>
    </row>
    <row r="22" spans="2:9">
      <c r="B22" s="30"/>
    </row>
    <row r="23" spans="2:9">
      <c r="B23" s="24" t="s">
        <v>47</v>
      </c>
      <c r="C23" s="25">
        <f>C10-C21</f>
        <v>22758.962683333317</v>
      </c>
      <c r="D23" s="25">
        <f t="shared" ref="D23:I23" si="12">D10-D21</f>
        <v>22769.612683333311</v>
      </c>
      <c r="E23" s="25">
        <f t="shared" si="12"/>
        <v>22780.262683333305</v>
      </c>
      <c r="F23" s="25">
        <f t="shared" si="12"/>
        <v>22790.912683333328</v>
      </c>
      <c r="G23" s="25">
        <f t="shared" si="12"/>
        <v>22801.562683333323</v>
      </c>
      <c r="H23" s="25">
        <f t="shared" si="12"/>
        <v>22812.212683333317</v>
      </c>
      <c r="I23" s="25">
        <f t="shared" si="12"/>
        <v>22822.862683333311</v>
      </c>
    </row>
    <row r="24" spans="2:9">
      <c r="B24" s="29" t="s">
        <v>15</v>
      </c>
      <c r="C24" s="6">
        <f>(C6/$H$34)*$H$52</f>
        <v>5140.4538755670792</v>
      </c>
      <c r="D24" s="6">
        <f t="shared" ref="D24:I24" si="13">(D6/$H$34)*$H$52</f>
        <v>5140.9679209546357</v>
      </c>
      <c r="E24" s="6">
        <f t="shared" si="13"/>
        <v>5141.4819663421931</v>
      </c>
      <c r="F24" s="6">
        <f t="shared" si="13"/>
        <v>5141.9960117297496</v>
      </c>
      <c r="G24" s="6">
        <f t="shared" si="13"/>
        <v>5142.5100571173061</v>
      </c>
      <c r="H24" s="6">
        <f t="shared" si="13"/>
        <v>5143.0241025048626</v>
      </c>
      <c r="I24" s="6">
        <f t="shared" si="13"/>
        <v>5143.5381478924201</v>
      </c>
    </row>
    <row r="25" spans="2:9">
      <c r="B25" s="29" t="s">
        <v>102</v>
      </c>
      <c r="C25" s="6">
        <f>(C6/$H$34)*$H$53</f>
        <v>1028.0907751134159</v>
      </c>
      <c r="D25" s="6">
        <f t="shared" ref="D25:I25" si="14">(D6/$H$34)*$H$53</f>
        <v>1028.1935841909271</v>
      </c>
      <c r="E25" s="6">
        <f t="shared" si="14"/>
        <v>1028.2963932684386</v>
      </c>
      <c r="F25" s="6">
        <f t="shared" si="14"/>
        <v>1028.39920234595</v>
      </c>
      <c r="G25" s="6">
        <f t="shared" si="14"/>
        <v>1028.5020114234612</v>
      </c>
      <c r="H25" s="6">
        <f t="shared" si="14"/>
        <v>1028.6048205009727</v>
      </c>
      <c r="I25" s="6">
        <f t="shared" si="14"/>
        <v>1028.7076295784841</v>
      </c>
    </row>
    <row r="26" spans="2:9">
      <c r="B26" s="29" t="s">
        <v>16</v>
      </c>
      <c r="C26" s="6">
        <f>'Loan Amortization Table'!D14</f>
        <v>1458.3333333333335</v>
      </c>
      <c r="D26" s="6">
        <f>'Loan Amortization Table'!D15</f>
        <v>1449.9077912250618</v>
      </c>
      <c r="E26" s="6">
        <f>'Loan Amortization Table'!D16</f>
        <v>1441.4331001211588</v>
      </c>
      <c r="F26" s="6">
        <f>'Loan Amortization Table'!D17</f>
        <v>1432.9089733191495</v>
      </c>
      <c r="G26" s="6">
        <f>'Loan Amortization Table'!D18</f>
        <v>1424.3351224441285</v>
      </c>
      <c r="H26" s="6">
        <f>'Loan Amortization Table'!D19</f>
        <v>1415.711257439003</v>
      </c>
      <c r="I26" s="6">
        <f>'Loan Amortization Table'!D20</f>
        <v>1407.0370865546813</v>
      </c>
    </row>
    <row r="27" spans="2:9">
      <c r="B27" s="29" t="s">
        <v>54</v>
      </c>
      <c r="C27" s="6">
        <f>$H$55/12</f>
        <v>833.33333333333337</v>
      </c>
      <c r="D27" s="6">
        <f t="shared" ref="D27:I27" si="15">$H$55/12</f>
        <v>833.33333333333337</v>
      </c>
      <c r="E27" s="6">
        <f t="shared" si="15"/>
        <v>833.33333333333337</v>
      </c>
      <c r="F27" s="6">
        <f t="shared" si="15"/>
        <v>833.33333333333337</v>
      </c>
      <c r="G27" s="6">
        <f t="shared" si="15"/>
        <v>833.33333333333337</v>
      </c>
      <c r="H27" s="6">
        <f t="shared" si="15"/>
        <v>833.33333333333337</v>
      </c>
      <c r="I27" s="6">
        <f t="shared" si="15"/>
        <v>833.33333333333337</v>
      </c>
    </row>
    <row r="28" spans="2:9">
      <c r="B28" s="38" t="s">
        <v>17</v>
      </c>
      <c r="C28" s="39">
        <f>C23-SUM(C24:C27)</f>
        <v>14298.751365986154</v>
      </c>
      <c r="D28" s="39">
        <f t="shared" ref="D28:I28" si="16">D23-SUM(D24:D27)</f>
        <v>14317.210053629353</v>
      </c>
      <c r="E28" s="39">
        <f t="shared" si="16"/>
        <v>14335.717890268181</v>
      </c>
      <c r="F28" s="39">
        <f t="shared" si="16"/>
        <v>14354.275162605147</v>
      </c>
      <c r="G28" s="39">
        <f t="shared" si="16"/>
        <v>14372.882159015093</v>
      </c>
      <c r="H28" s="39">
        <f t="shared" si="16"/>
        <v>14391.539169555144</v>
      </c>
      <c r="I28" s="39">
        <f t="shared" si="16"/>
        <v>14410.246485974392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270189</v>
      </c>
      <c r="D34" s="6">
        <f>Inputs!K42</f>
        <v>270216</v>
      </c>
      <c r="E34" s="6">
        <f>Inputs!L42</f>
        <v>270243</v>
      </c>
      <c r="F34" s="6">
        <f>Inputs!M42</f>
        <v>270270</v>
      </c>
      <c r="G34" s="6">
        <f>Inputs!N42</f>
        <v>270297</v>
      </c>
      <c r="H34" s="6">
        <f>'Profit and Loss Statement'!E6</f>
        <v>3241782</v>
      </c>
    </row>
    <row r="35" spans="2:8">
      <c r="B35" s="31" t="s">
        <v>52</v>
      </c>
      <c r="C35" s="6">
        <f>Inputs!J61</f>
        <v>163614.45000000001</v>
      </c>
      <c r="D35" s="6">
        <f>Inputs!K61</f>
        <v>163630.79999999999</v>
      </c>
      <c r="E35" s="6">
        <f>Inputs!L61</f>
        <v>163647.15</v>
      </c>
      <c r="F35" s="6">
        <f>Inputs!M61</f>
        <v>163663.5</v>
      </c>
      <c r="G35" s="6">
        <f>Inputs!N61</f>
        <v>163679.85</v>
      </c>
      <c r="H35" s="6">
        <f>'Profit and Loss Statement'!E7</f>
        <v>1963079.1</v>
      </c>
    </row>
    <row r="36" spans="2:8">
      <c r="B36" s="29" t="s">
        <v>12</v>
      </c>
      <c r="C36" s="17">
        <f>1-(C35/C34)</f>
        <v>0.39444444444444438</v>
      </c>
      <c r="D36" s="17">
        <f t="shared" ref="D36:H36" si="18">1-(D35/D34)</f>
        <v>0.39444444444444449</v>
      </c>
      <c r="E36" s="17">
        <f t="shared" si="18"/>
        <v>0.39444444444444449</v>
      </c>
      <c r="F36" s="17">
        <f t="shared" si="18"/>
        <v>0.39444444444444449</v>
      </c>
      <c r="G36" s="17">
        <f t="shared" si="18"/>
        <v>0.39444444444444438</v>
      </c>
      <c r="H36" s="17">
        <f t="shared" si="18"/>
        <v>0.39444444444444438</v>
      </c>
    </row>
    <row r="37" spans="2:8">
      <c r="B37" s="30"/>
    </row>
    <row r="38" spans="2:8">
      <c r="B38" s="37" t="s">
        <v>10</v>
      </c>
      <c r="C38" s="6">
        <f>C34-C35</f>
        <v>106574.54999999999</v>
      </c>
      <c r="D38" s="6">
        <f t="shared" ref="D38:H38" si="19">D34-D35</f>
        <v>106585.20000000001</v>
      </c>
      <c r="E38" s="6">
        <f t="shared" si="19"/>
        <v>106595.85</v>
      </c>
      <c r="F38" s="6">
        <f t="shared" si="19"/>
        <v>106606.5</v>
      </c>
      <c r="G38" s="6">
        <f t="shared" si="19"/>
        <v>106617.15</v>
      </c>
      <c r="H38" s="6">
        <f t="shared" si="19"/>
        <v>1278702.8999999999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60000</v>
      </c>
      <c r="D41" s="6">
        <f t="shared" ref="D41:G41" si="20">$H$41/12</f>
        <v>60000</v>
      </c>
      <c r="E41" s="6">
        <f t="shared" si="20"/>
        <v>60000</v>
      </c>
      <c r="F41" s="6">
        <f t="shared" si="20"/>
        <v>60000</v>
      </c>
      <c r="G41" s="6">
        <f t="shared" si="20"/>
        <v>60000</v>
      </c>
      <c r="H41" s="6">
        <f>'Profit and Loss Statement'!E13</f>
        <v>720000</v>
      </c>
    </row>
    <row r="42" spans="2:8">
      <c r="B42" s="33" t="str">
        <f>B14</f>
        <v>Facility Costs</v>
      </c>
      <c r="C42" s="6">
        <f>$H$42/12</f>
        <v>2916.6666666666665</v>
      </c>
      <c r="D42" s="6">
        <f t="shared" ref="D42:G42" si="21">$H$42/12</f>
        <v>2916.6666666666665</v>
      </c>
      <c r="E42" s="6">
        <f t="shared" si="21"/>
        <v>2916.6666666666665</v>
      </c>
      <c r="F42" s="6">
        <f t="shared" si="21"/>
        <v>2916.6666666666665</v>
      </c>
      <c r="G42" s="6">
        <f t="shared" si="21"/>
        <v>2916.6666666666665</v>
      </c>
      <c r="H42" s="6">
        <f>'Profit and Loss Statement'!E14</f>
        <v>35000</v>
      </c>
    </row>
    <row r="43" spans="2:8">
      <c r="B43" s="33" t="str">
        <f t="shared" ref="B43:B47" si="22">B15</f>
        <v>General and Administrative</v>
      </c>
      <c r="C43" s="6">
        <f>$H$43/12</f>
        <v>4241.3314499999997</v>
      </c>
      <c r="D43" s="6">
        <f t="shared" ref="D43:G43" si="23">$H$43/12</f>
        <v>4241.3314499999997</v>
      </c>
      <c r="E43" s="6">
        <f t="shared" si="23"/>
        <v>4241.3314499999997</v>
      </c>
      <c r="F43" s="6">
        <f t="shared" si="23"/>
        <v>4241.3314499999997</v>
      </c>
      <c r="G43" s="6">
        <f t="shared" si="23"/>
        <v>4241.3314499999997</v>
      </c>
      <c r="H43" s="6">
        <f>'Profit and Loss Statement'!E15</f>
        <v>50895.977399999996</v>
      </c>
    </row>
    <row r="44" spans="2:8">
      <c r="B44" s="33" t="str">
        <f t="shared" si="22"/>
        <v>Equipment Costs</v>
      </c>
      <c r="C44" s="6">
        <f>$H$44/12</f>
        <v>4106.2572</v>
      </c>
      <c r="D44" s="6">
        <f t="shared" ref="D44:G44" si="24">$H$44/12</f>
        <v>4106.2572</v>
      </c>
      <c r="E44" s="6">
        <f t="shared" si="24"/>
        <v>4106.2572</v>
      </c>
      <c r="F44" s="6">
        <f t="shared" si="24"/>
        <v>4106.2572</v>
      </c>
      <c r="G44" s="6">
        <f t="shared" si="24"/>
        <v>4106.2572</v>
      </c>
      <c r="H44" s="6">
        <f>'Profit and Loss Statement'!E16</f>
        <v>49275.0864</v>
      </c>
    </row>
    <row r="45" spans="2:8">
      <c r="B45" s="33" t="str">
        <f t="shared" si="22"/>
        <v>Insurance Costs</v>
      </c>
      <c r="C45" s="6">
        <f>$H$45/12</f>
        <v>3600</v>
      </c>
      <c r="D45" s="6">
        <f t="shared" ref="D45:G45" si="25">$H$45/12</f>
        <v>3600</v>
      </c>
      <c r="E45" s="6">
        <f t="shared" si="25"/>
        <v>3600</v>
      </c>
      <c r="F45" s="6">
        <f t="shared" si="25"/>
        <v>3600</v>
      </c>
      <c r="G45" s="6">
        <f t="shared" si="25"/>
        <v>3600</v>
      </c>
      <c r="H45" s="6">
        <f>'Profit and Loss Statement'!E17</f>
        <v>43200</v>
      </c>
    </row>
    <row r="46" spans="2:8">
      <c r="B46" s="33" t="str">
        <f t="shared" si="22"/>
        <v>Marketing</v>
      </c>
      <c r="C46" s="6">
        <f>$H$46/12</f>
        <v>3241.7819999999997</v>
      </c>
      <c r="D46" s="6">
        <f t="shared" ref="D46:G46" si="26">$H$46/12</f>
        <v>3241.7819999999997</v>
      </c>
      <c r="E46" s="6">
        <f t="shared" si="26"/>
        <v>3241.7819999999997</v>
      </c>
      <c r="F46" s="6">
        <f t="shared" si="26"/>
        <v>3241.7819999999997</v>
      </c>
      <c r="G46" s="6">
        <f t="shared" si="26"/>
        <v>3241.7819999999997</v>
      </c>
      <c r="H46" s="6">
        <f>'Profit and Loss Statement'!E18</f>
        <v>38901.383999999998</v>
      </c>
    </row>
    <row r="47" spans="2:8">
      <c r="B47" s="33" t="str">
        <f t="shared" si="22"/>
        <v>Professional Fees and Licensure</v>
      </c>
      <c r="C47" s="6">
        <f>$H$47/12</f>
        <v>1045</v>
      </c>
      <c r="D47" s="6">
        <f t="shared" ref="D47:G47" si="27">$H$47/12</f>
        <v>1045</v>
      </c>
      <c r="E47" s="6">
        <f t="shared" si="27"/>
        <v>1045</v>
      </c>
      <c r="F47" s="6">
        <f t="shared" si="27"/>
        <v>1045</v>
      </c>
      <c r="G47" s="6">
        <f t="shared" si="27"/>
        <v>1045</v>
      </c>
      <c r="H47" s="6">
        <f>'Profit and Loss Statement'!E19</f>
        <v>12540</v>
      </c>
    </row>
    <row r="48" spans="2:8">
      <c r="B48" s="29" t="s">
        <v>14</v>
      </c>
      <c r="C48" s="6">
        <f>$H$48/12</f>
        <v>4590</v>
      </c>
      <c r="D48" s="6">
        <f t="shared" ref="D48:G48" si="28">$H$48/12</f>
        <v>4590</v>
      </c>
      <c r="E48" s="6">
        <f t="shared" si="28"/>
        <v>4590</v>
      </c>
      <c r="F48" s="6">
        <f t="shared" si="28"/>
        <v>4590</v>
      </c>
      <c r="G48" s="6">
        <f t="shared" si="28"/>
        <v>4590</v>
      </c>
      <c r="H48" s="6">
        <f>'Profit and Loss Statement'!E20</f>
        <v>55080</v>
      </c>
    </row>
    <row r="49" spans="2:15">
      <c r="B49" s="28" t="s">
        <v>8</v>
      </c>
      <c r="C49" s="6">
        <f>SUM(C41:C48)</f>
        <v>83741.037316666683</v>
      </c>
      <c r="D49" s="6">
        <f t="shared" ref="D49:G49" si="29">SUM(D41:D48)</f>
        <v>83741.037316666683</v>
      </c>
      <c r="E49" s="6">
        <f t="shared" si="29"/>
        <v>83741.037316666683</v>
      </c>
      <c r="F49" s="6">
        <f t="shared" si="29"/>
        <v>83741.037316666683</v>
      </c>
      <c r="G49" s="6">
        <f t="shared" si="29"/>
        <v>83741.037316666683</v>
      </c>
      <c r="H49" s="6">
        <f>'Profit and Loss Statement'!E21</f>
        <v>1004892.4478</v>
      </c>
    </row>
    <row r="50" spans="2:15">
      <c r="B50" s="30"/>
    </row>
    <row r="51" spans="2:15">
      <c r="B51" s="24" t="s">
        <v>47</v>
      </c>
      <c r="C51" s="25">
        <f>C38-C49</f>
        <v>22833.512683333305</v>
      </c>
      <c r="D51" s="25">
        <f t="shared" ref="D51:H51" si="30">D38-D49</f>
        <v>22844.162683333328</v>
      </c>
      <c r="E51" s="25">
        <f t="shared" si="30"/>
        <v>22854.812683333323</v>
      </c>
      <c r="F51" s="25">
        <f t="shared" si="30"/>
        <v>22865.462683333317</v>
      </c>
      <c r="G51" s="25">
        <f t="shared" si="30"/>
        <v>22876.112683333311</v>
      </c>
      <c r="H51" s="25">
        <f t="shared" si="30"/>
        <v>273810.45219999994</v>
      </c>
    </row>
    <row r="52" spans="2:15">
      <c r="B52" s="29" t="s">
        <v>15</v>
      </c>
      <c r="C52" s="6">
        <f>(C34/$H$34)*$H$52</f>
        <v>5144.0521932799757</v>
      </c>
      <c r="D52" s="6">
        <f t="shared" ref="D52:G52" si="31">(D34/$H$34)*$H$52</f>
        <v>5144.5662386675331</v>
      </c>
      <c r="E52" s="6">
        <f t="shared" si="31"/>
        <v>5145.0802840550896</v>
      </c>
      <c r="F52" s="6">
        <f t="shared" si="31"/>
        <v>5145.594329442647</v>
      </c>
      <c r="G52" s="6">
        <f t="shared" si="31"/>
        <v>5146.1083748302026</v>
      </c>
      <c r="H52" s="6">
        <f>'Profit and Loss Statement'!E24</f>
        <v>61719.373502383693</v>
      </c>
    </row>
    <row r="53" spans="2:15">
      <c r="B53" s="29" t="s">
        <v>102</v>
      </c>
      <c r="C53" s="6">
        <f>(C34/$H$34)*$H$53</f>
        <v>1028.8104386559953</v>
      </c>
      <c r="D53" s="6">
        <f t="shared" ref="D53:G53" si="32">(D34/$H$34)*$H$53</f>
        <v>1028.9132477335065</v>
      </c>
      <c r="E53" s="6">
        <f t="shared" si="32"/>
        <v>1029.016056811018</v>
      </c>
      <c r="F53" s="6">
        <f t="shared" si="32"/>
        <v>1029.1188658885294</v>
      </c>
      <c r="G53" s="6">
        <f t="shared" si="32"/>
        <v>1029.2216749660406</v>
      </c>
      <c r="H53" s="6">
        <f>'Profit and Loss Statement'!E25</f>
        <v>12343.874700476739</v>
      </c>
    </row>
    <row r="54" spans="2:15">
      <c r="B54" s="29" t="s">
        <v>16</v>
      </c>
      <c r="C54" s="6">
        <f>'Loan Amortization Table'!D21</f>
        <v>1398.3123163402008</v>
      </c>
      <c r="D54" s="6">
        <f>'Loan Amortization Table'!D22</f>
        <v>1389.5366516328027</v>
      </c>
      <c r="E54" s="6">
        <f>'Loan Amortization Table'!D23</f>
        <v>1380.7097955479449</v>
      </c>
      <c r="F54" s="6">
        <f>'Loan Amortization Table'!D24</f>
        <v>1371.8314494692584</v>
      </c>
      <c r="G54" s="6">
        <f>'Loan Amortization Table'!D25</f>
        <v>1362.9013130384465</v>
      </c>
      <c r="H54" s="6">
        <f>'Profit and Loss Statement'!E26</f>
        <v>16932.958190465171</v>
      </c>
    </row>
    <row r="55" spans="2:15">
      <c r="B55" s="29" t="s">
        <v>54</v>
      </c>
      <c r="C55" s="6">
        <f>$H$55/12</f>
        <v>833.33333333333337</v>
      </c>
      <c r="D55" s="6">
        <f t="shared" ref="D55:G55" si="33">$H$55/12</f>
        <v>833.33333333333337</v>
      </c>
      <c r="E55" s="6">
        <f t="shared" si="33"/>
        <v>833.33333333333337</v>
      </c>
      <c r="F55" s="6">
        <f t="shared" si="33"/>
        <v>833.33333333333337</v>
      </c>
      <c r="G55" s="6">
        <f t="shared" si="33"/>
        <v>833.33333333333337</v>
      </c>
      <c r="H55" s="6">
        <f>'Profit and Loss Statement'!E27</f>
        <v>10000</v>
      </c>
    </row>
    <row r="56" spans="2:15">
      <c r="B56" s="38" t="s">
        <v>17</v>
      </c>
      <c r="C56" s="39">
        <f>C51-SUM(C52:C55)</f>
        <v>14429.0044017238</v>
      </c>
      <c r="D56" s="39">
        <f t="shared" ref="D56:G56" si="34">D51-SUM(D52:D55)</f>
        <v>14447.813211966151</v>
      </c>
      <c r="E56" s="39">
        <f t="shared" si="34"/>
        <v>14466.673213585937</v>
      </c>
      <c r="F56" s="39">
        <f t="shared" si="34"/>
        <v>14485.584705199548</v>
      </c>
      <c r="G56" s="39">
        <f t="shared" si="34"/>
        <v>14504.547987165288</v>
      </c>
      <c r="H56" s="39">
        <f>'Profit and Loss Statement'!E28</f>
        <v>172814.24580667436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972534.6</v>
      </c>
      <c r="D62" s="6">
        <f t="shared" ref="D62:F62" si="38">$G$62*M62</f>
        <v>972534.6</v>
      </c>
      <c r="E62" s="6">
        <f t="shared" si="38"/>
        <v>972534.6</v>
      </c>
      <c r="F62" s="6">
        <f t="shared" si="38"/>
        <v>972534.6</v>
      </c>
      <c r="G62" s="6">
        <f>'Profit and Loss Statement'!F6</f>
        <v>3890138.4</v>
      </c>
      <c r="K62" s="4" t="s">
        <v>114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588923.73</v>
      </c>
      <c r="D63" s="6">
        <f t="shared" ref="D63:F63" si="39">$G$63*M62</f>
        <v>588923.73</v>
      </c>
      <c r="E63" s="6">
        <f t="shared" si="39"/>
        <v>588923.73</v>
      </c>
      <c r="F63" s="6">
        <f t="shared" si="39"/>
        <v>588923.73</v>
      </c>
      <c r="G63" s="6">
        <f>'Profit and Loss Statement'!F7</f>
        <v>2355694.92</v>
      </c>
    </row>
    <row r="64" spans="2:15">
      <c r="B64" s="29" t="s">
        <v>12</v>
      </c>
      <c r="C64" s="17">
        <f>1-(C63/C62)</f>
        <v>0.39444444444444449</v>
      </c>
      <c r="D64" s="17">
        <f t="shared" ref="D64" si="40">1-(D63/D62)</f>
        <v>0.39444444444444449</v>
      </c>
      <c r="E64" s="17">
        <f t="shared" ref="E64" si="41">1-(E63/E62)</f>
        <v>0.39444444444444449</v>
      </c>
      <c r="F64" s="17">
        <f t="shared" ref="F64:G64" si="42">1-(F63/F62)</f>
        <v>0.39444444444444449</v>
      </c>
      <c r="G64" s="17">
        <f t="shared" si="42"/>
        <v>0.39444444444444449</v>
      </c>
    </row>
    <row r="65" spans="2:7">
      <c r="B65" s="30"/>
    </row>
    <row r="66" spans="2:7">
      <c r="B66" s="37" t="s">
        <v>10</v>
      </c>
      <c r="C66" s="6">
        <f>C62-C63</f>
        <v>383610.87</v>
      </c>
      <c r="D66" s="6">
        <f t="shared" ref="D66:G66" si="43">D62-D63</f>
        <v>383610.87</v>
      </c>
      <c r="E66" s="6">
        <f t="shared" si="43"/>
        <v>383610.87</v>
      </c>
      <c r="F66" s="6">
        <f t="shared" si="43"/>
        <v>383610.87</v>
      </c>
      <c r="G66" s="6">
        <f t="shared" si="43"/>
        <v>1534443.48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185400</v>
      </c>
      <c r="D69" s="6">
        <f t="shared" ref="D69:F69" si="44">$G$69/4</f>
        <v>185400</v>
      </c>
      <c r="E69" s="6">
        <f t="shared" si="44"/>
        <v>185400</v>
      </c>
      <c r="F69" s="6">
        <f t="shared" si="44"/>
        <v>185400</v>
      </c>
      <c r="G69" s="6">
        <f>'Profit and Loss Statement'!F13</f>
        <v>741600</v>
      </c>
    </row>
    <row r="70" spans="2:7">
      <c r="B70" s="33" t="str">
        <f>B42</f>
        <v>Facility Costs</v>
      </c>
      <c r="C70" s="6">
        <f>$G$70/4</f>
        <v>9012.5</v>
      </c>
      <c r="D70" s="6">
        <f t="shared" ref="D70:F70" si="45">$G$70/4</f>
        <v>9012.5</v>
      </c>
      <c r="E70" s="6">
        <f t="shared" si="45"/>
        <v>9012.5</v>
      </c>
      <c r="F70" s="6">
        <f t="shared" si="45"/>
        <v>9012.5</v>
      </c>
      <c r="G70" s="6">
        <f>'Profit and Loss Statement'!F14</f>
        <v>36050</v>
      </c>
    </row>
    <row r="71" spans="2:7">
      <c r="B71" s="33" t="str">
        <f t="shared" ref="B71:B75" si="46">B43</f>
        <v>General and Administrative</v>
      </c>
      <c r="C71" s="6">
        <f>$G$71/4</f>
        <v>15268.793219999998</v>
      </c>
      <c r="D71" s="6">
        <f t="shared" ref="D71:F71" si="47">$G$71/4</f>
        <v>15268.793219999998</v>
      </c>
      <c r="E71" s="6">
        <f t="shared" si="47"/>
        <v>15268.793219999998</v>
      </c>
      <c r="F71" s="6">
        <f t="shared" si="47"/>
        <v>15268.793219999998</v>
      </c>
      <c r="G71" s="6">
        <f>'Profit and Loss Statement'!F15</f>
        <v>61075.172879999991</v>
      </c>
    </row>
    <row r="72" spans="2:7">
      <c r="B72" s="33" t="str">
        <f t="shared" si="46"/>
        <v>Equipment Costs</v>
      </c>
      <c r="C72" s="6">
        <f>$G$72/4</f>
        <v>14782.52592</v>
      </c>
      <c r="D72" s="6">
        <f t="shared" ref="D72:F72" si="48">$G$72/4</f>
        <v>14782.52592</v>
      </c>
      <c r="E72" s="6">
        <f t="shared" si="48"/>
        <v>14782.52592</v>
      </c>
      <c r="F72" s="6">
        <f t="shared" si="48"/>
        <v>14782.52592</v>
      </c>
      <c r="G72" s="6">
        <f>'Profit and Loss Statement'!F16</f>
        <v>59130.10368</v>
      </c>
    </row>
    <row r="73" spans="2:7">
      <c r="B73" s="33" t="str">
        <f t="shared" si="46"/>
        <v>Insurance Costs</v>
      </c>
      <c r="C73" s="6">
        <f>$G$73/4</f>
        <v>11124</v>
      </c>
      <c r="D73" s="6">
        <f t="shared" ref="D73:F73" si="49">$G$73/4</f>
        <v>11124</v>
      </c>
      <c r="E73" s="6">
        <f t="shared" si="49"/>
        <v>11124</v>
      </c>
      <c r="F73" s="6">
        <f t="shared" si="49"/>
        <v>11124</v>
      </c>
      <c r="G73" s="6">
        <f>'Profit and Loss Statement'!F17</f>
        <v>44496</v>
      </c>
    </row>
    <row r="74" spans="2:7">
      <c r="B74" s="33" t="str">
        <f t="shared" si="46"/>
        <v>Marketing</v>
      </c>
      <c r="C74" s="6">
        <f>$G$74/4</f>
        <v>11670.415199999999</v>
      </c>
      <c r="D74" s="6">
        <f t="shared" ref="D74:F74" si="50">$G$74/4</f>
        <v>11670.415199999999</v>
      </c>
      <c r="E74" s="6">
        <f t="shared" si="50"/>
        <v>11670.415199999999</v>
      </c>
      <c r="F74" s="6">
        <f t="shared" si="50"/>
        <v>11670.415199999999</v>
      </c>
      <c r="G74" s="6">
        <f>'Profit and Loss Statement'!F18</f>
        <v>46681.660799999998</v>
      </c>
    </row>
    <row r="75" spans="2:7">
      <c r="B75" s="33" t="str">
        <f t="shared" si="46"/>
        <v>Professional Fees and Licensure</v>
      </c>
      <c r="C75" s="6">
        <f>$G$75/4</f>
        <v>4232.25</v>
      </c>
      <c r="D75" s="6">
        <f t="shared" ref="D75:F75" si="51">$G$75/4</f>
        <v>4232.25</v>
      </c>
      <c r="E75" s="6">
        <f t="shared" si="51"/>
        <v>4232.25</v>
      </c>
      <c r="F75" s="6">
        <f t="shared" si="51"/>
        <v>4232.25</v>
      </c>
      <c r="G75" s="6">
        <f>'Profit and Loss Statement'!F19</f>
        <v>16929</v>
      </c>
    </row>
    <row r="76" spans="2:7">
      <c r="B76" s="29" t="s">
        <v>14</v>
      </c>
      <c r="C76" s="6">
        <f>$G$76/4</f>
        <v>14183.1</v>
      </c>
      <c r="D76" s="6">
        <f t="shared" ref="D76:F76" si="52">$G$76/4</f>
        <v>14183.1</v>
      </c>
      <c r="E76" s="6">
        <f t="shared" si="52"/>
        <v>14183.1</v>
      </c>
      <c r="F76" s="6">
        <f t="shared" si="52"/>
        <v>14183.1</v>
      </c>
      <c r="G76" s="6">
        <f>'Profit and Loss Statement'!F20</f>
        <v>56732.4</v>
      </c>
    </row>
    <row r="77" spans="2:7">
      <c r="B77" s="28" t="s">
        <v>8</v>
      </c>
      <c r="C77" s="6">
        <f>SUM(C69:C76)</f>
        <v>265673.58433999994</v>
      </c>
      <c r="D77" s="6">
        <f t="shared" ref="D77:F77" si="53">SUM(D69:D76)</f>
        <v>265673.58433999994</v>
      </c>
      <c r="E77" s="6">
        <f t="shared" si="53"/>
        <v>265673.58433999994</v>
      </c>
      <c r="F77" s="6">
        <f t="shared" si="53"/>
        <v>265673.58433999994</v>
      </c>
      <c r="G77" s="6">
        <f>SUM(G69:G76)</f>
        <v>1062694.3373599998</v>
      </c>
    </row>
    <row r="78" spans="2:7">
      <c r="B78" s="30"/>
    </row>
    <row r="79" spans="2:7">
      <c r="B79" s="24" t="s">
        <v>47</v>
      </c>
      <c r="C79" s="25">
        <f>C66-C77</f>
        <v>117937.28566000005</v>
      </c>
      <c r="D79" s="25">
        <f t="shared" ref="D79:F79" si="54">D66-D77</f>
        <v>117937.28566000005</v>
      </c>
      <c r="E79" s="25">
        <f t="shared" si="54"/>
        <v>117937.28566000005</v>
      </c>
      <c r="F79" s="25">
        <f t="shared" si="54"/>
        <v>117937.28566000005</v>
      </c>
      <c r="G79" s="25">
        <f t="shared" ref="G79" si="55">G66-G77</f>
        <v>471749.14264000021</v>
      </c>
    </row>
    <row r="80" spans="2:7">
      <c r="B80" s="29" t="s">
        <v>15</v>
      </c>
      <c r="C80" s="6">
        <f>$G$80*L62</f>
        <v>27881.884183628357</v>
      </c>
      <c r="D80" s="6">
        <f t="shared" ref="D80:F80" si="56">$G$80*M62</f>
        <v>27881.884183628357</v>
      </c>
      <c r="E80" s="6">
        <f t="shared" si="56"/>
        <v>27881.884183628357</v>
      </c>
      <c r="F80" s="6">
        <f t="shared" si="56"/>
        <v>27881.884183628357</v>
      </c>
      <c r="G80" s="6">
        <f>'Profit and Loss Statement'!F24</f>
        <v>111527.53673451343</v>
      </c>
    </row>
    <row r="81" spans="2:15">
      <c r="B81" s="29" t="s">
        <v>102</v>
      </c>
      <c r="C81" s="6">
        <f>$G$81*L62</f>
        <v>5576.3768367256716</v>
      </c>
      <c r="D81" s="6">
        <f t="shared" ref="D81:F81" si="57">$G$81*M62</f>
        <v>5576.3768367256716</v>
      </c>
      <c r="E81" s="6">
        <f t="shared" si="57"/>
        <v>5576.3768367256716</v>
      </c>
      <c r="F81" s="6">
        <f t="shared" si="57"/>
        <v>5576.3768367256716</v>
      </c>
      <c r="G81" s="6">
        <f>'Profit and Loss Statement'!F25</f>
        <v>22305.507346902687</v>
      </c>
    </row>
    <row r="82" spans="2:15">
      <c r="B82" s="29" t="s">
        <v>16</v>
      </c>
      <c r="C82" s="6">
        <f>SUM('Loan Amortization Table'!D26:D28)</f>
        <v>4034.6006747692563</v>
      </c>
      <c r="D82" s="6">
        <f>SUM('Loan Amortization Table'!D29:D31)</f>
        <v>3952.3357898696927</v>
      </c>
      <c r="E82" s="6">
        <f>SUM('Loan Amortization Table'!D32:D34)</f>
        <v>3868.6228552815201</v>
      </c>
      <c r="F82" s="6">
        <f>SUM('Loan Amortization Table'!D35:D37)</f>
        <v>3783.4363820260196</v>
      </c>
      <c r="G82" s="6">
        <f>'Profit and Loss Statement'!F26</f>
        <v>15638.995701946491</v>
      </c>
    </row>
    <row r="83" spans="2:15">
      <c r="B83" s="29" t="s">
        <v>54</v>
      </c>
      <c r="C83" s="6">
        <f>$G$83/4</f>
        <v>2500</v>
      </c>
      <c r="D83" s="6">
        <f t="shared" ref="D83:F83" si="58">$G$83/4</f>
        <v>2500</v>
      </c>
      <c r="E83" s="6">
        <f t="shared" si="58"/>
        <v>2500</v>
      </c>
      <c r="F83" s="6">
        <f t="shared" si="58"/>
        <v>2500</v>
      </c>
      <c r="G83" s="6">
        <f>'Profit and Loss Statement'!F27</f>
        <v>10000</v>
      </c>
    </row>
    <row r="84" spans="2:15">
      <c r="B84" s="38" t="s">
        <v>17</v>
      </c>
      <c r="C84" s="39">
        <f>C79-SUM(C80:C83)</f>
        <v>77944.423964876769</v>
      </c>
      <c r="D84" s="39">
        <f t="shared" ref="D84:F84" si="59">D79-SUM(D80:D83)</f>
        <v>78026.688849776328</v>
      </c>
      <c r="E84" s="39">
        <f t="shared" si="59"/>
        <v>78110.401784364498</v>
      </c>
      <c r="F84" s="39">
        <f t="shared" si="59"/>
        <v>78195.588257619995</v>
      </c>
      <c r="G84" s="39">
        <f>'Profit and Loss Statement'!F28</f>
        <v>312277.10285663756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1118414.7899999998</v>
      </c>
      <c r="D92" s="6">
        <f t="shared" ref="D92:F92" si="64">$G$92*M92</f>
        <v>1118414.7899999998</v>
      </c>
      <c r="E92" s="6">
        <f t="shared" si="64"/>
        <v>1118414.7899999998</v>
      </c>
      <c r="F92" s="6">
        <f t="shared" si="64"/>
        <v>1118414.7899999998</v>
      </c>
      <c r="G92" s="6">
        <f>'Profit and Loss Statement'!G6</f>
        <v>4473659.1599999992</v>
      </c>
      <c r="K92" s="4" t="s">
        <v>114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677262.28949999984</v>
      </c>
      <c r="D93" s="6">
        <f t="shared" ref="D93:F93" si="65">$G$93*M92</f>
        <v>677262.28949999984</v>
      </c>
      <c r="E93" s="6">
        <f t="shared" si="65"/>
        <v>677262.28949999984</v>
      </c>
      <c r="F93" s="6">
        <f t="shared" si="65"/>
        <v>677262.28949999984</v>
      </c>
      <c r="G93" s="6">
        <f>'Profit and Loss Statement'!G7</f>
        <v>2709049.1579999994</v>
      </c>
    </row>
    <row r="94" spans="2:15">
      <c r="B94" s="29" t="s">
        <v>12</v>
      </c>
      <c r="C94" s="17">
        <f>1-(C93/C92)</f>
        <v>0.39444444444444449</v>
      </c>
      <c r="D94" s="17">
        <f t="shared" ref="D94:G94" si="66">1-(D93/D92)</f>
        <v>0.39444444444444449</v>
      </c>
      <c r="E94" s="17">
        <f t="shared" si="66"/>
        <v>0.39444444444444449</v>
      </c>
      <c r="F94" s="17">
        <f t="shared" si="66"/>
        <v>0.39444444444444449</v>
      </c>
      <c r="G94" s="17">
        <f t="shared" si="66"/>
        <v>0.39444444444444449</v>
      </c>
    </row>
    <row r="95" spans="2:15">
      <c r="B95" s="30"/>
    </row>
    <row r="96" spans="2:15">
      <c r="B96" s="37" t="s">
        <v>10</v>
      </c>
      <c r="C96" s="6">
        <f>C92-C93</f>
        <v>441152.50049999997</v>
      </c>
      <c r="D96" s="6">
        <f t="shared" ref="D96:G96" si="67">D92-D93</f>
        <v>441152.50049999997</v>
      </c>
      <c r="E96" s="6">
        <f t="shared" si="67"/>
        <v>441152.50049999997</v>
      </c>
      <c r="F96" s="6">
        <f t="shared" si="67"/>
        <v>441152.50049999997</v>
      </c>
      <c r="G96" s="6">
        <f t="shared" si="67"/>
        <v>1764610.0019999999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190962</v>
      </c>
      <c r="D99" s="6">
        <f>$G$99/4</f>
        <v>190962</v>
      </c>
      <c r="E99" s="6">
        <f>$G$99/4</f>
        <v>190962</v>
      </c>
      <c r="F99" s="6">
        <f>$G$99/4</f>
        <v>190962</v>
      </c>
      <c r="G99" s="6">
        <f>'Profit and Loss Statement'!G13</f>
        <v>763848</v>
      </c>
    </row>
    <row r="100" spans="2:7">
      <c r="B100" s="33" t="str">
        <f>B70</f>
        <v>Facility Costs</v>
      </c>
      <c r="C100" s="6">
        <f>$G$100/4</f>
        <v>9282.875</v>
      </c>
      <c r="D100" s="6">
        <f t="shared" ref="D100:F100" si="68">$G$100/4</f>
        <v>9282.875</v>
      </c>
      <c r="E100" s="6">
        <f t="shared" si="68"/>
        <v>9282.875</v>
      </c>
      <c r="F100" s="6">
        <f t="shared" si="68"/>
        <v>9282.875</v>
      </c>
      <c r="G100" s="6">
        <f>'Profit and Loss Statement'!G14</f>
        <v>37131.5</v>
      </c>
    </row>
    <row r="101" spans="2:7">
      <c r="B101" s="33" t="str">
        <f t="shared" ref="B101:B105" si="69">B71</f>
        <v>General and Administrative</v>
      </c>
      <c r="C101" s="6">
        <f>$G101/4</f>
        <v>17559.112202999997</v>
      </c>
      <c r="D101" s="6">
        <f t="shared" ref="D101:F101" si="70">$G101/4</f>
        <v>17559.112202999997</v>
      </c>
      <c r="E101" s="6">
        <f t="shared" si="70"/>
        <v>17559.112202999997</v>
      </c>
      <c r="F101" s="6">
        <f t="shared" si="70"/>
        <v>17559.112202999997</v>
      </c>
      <c r="G101" s="6">
        <f>'Profit and Loss Statement'!G15</f>
        <v>70236.448811999988</v>
      </c>
    </row>
    <row r="102" spans="2:7">
      <c r="B102" s="33" t="str">
        <f t="shared" si="69"/>
        <v>Equipment Costs</v>
      </c>
      <c r="C102" s="6">
        <f>$G$102/4</f>
        <v>16999.904807999996</v>
      </c>
      <c r="D102" s="6">
        <f t="shared" ref="D102:F102" si="71">$G$102/4</f>
        <v>16999.904807999996</v>
      </c>
      <c r="E102" s="6">
        <f t="shared" si="71"/>
        <v>16999.904807999996</v>
      </c>
      <c r="F102" s="6">
        <f t="shared" si="71"/>
        <v>16999.904807999996</v>
      </c>
      <c r="G102" s="6">
        <f>'Profit and Loss Statement'!G16</f>
        <v>67999.619231999983</v>
      </c>
    </row>
    <row r="103" spans="2:7">
      <c r="B103" s="33" t="str">
        <f t="shared" si="69"/>
        <v>Insurance Costs</v>
      </c>
      <c r="C103" s="6">
        <f>$G$103/4</f>
        <v>11457.72</v>
      </c>
      <c r="D103" s="6">
        <f t="shared" ref="D103:F103" si="72">$G$103/4</f>
        <v>11457.72</v>
      </c>
      <c r="E103" s="6">
        <f t="shared" si="72"/>
        <v>11457.72</v>
      </c>
      <c r="F103" s="6">
        <f t="shared" si="72"/>
        <v>11457.72</v>
      </c>
      <c r="G103" s="6">
        <f>'Profit and Loss Statement'!G17</f>
        <v>45830.879999999997</v>
      </c>
    </row>
    <row r="104" spans="2:7">
      <c r="B104" s="33" t="str">
        <f t="shared" si="69"/>
        <v>Marketing</v>
      </c>
      <c r="C104" s="6">
        <f>$G$104/4</f>
        <v>13420.977479999998</v>
      </c>
      <c r="D104" s="6">
        <f t="shared" ref="D104:F104" si="73">$G$104/4</f>
        <v>13420.977479999998</v>
      </c>
      <c r="E104" s="6">
        <f t="shared" si="73"/>
        <v>13420.977479999998</v>
      </c>
      <c r="F104" s="6">
        <f t="shared" si="73"/>
        <v>13420.977479999998</v>
      </c>
      <c r="G104" s="6">
        <f>'Profit and Loss Statement'!G18</f>
        <v>53683.909919999991</v>
      </c>
    </row>
    <row r="105" spans="2:7">
      <c r="B105" s="33" t="str">
        <f t="shared" si="69"/>
        <v>Professional Fees and Licensure</v>
      </c>
      <c r="C105" s="6">
        <f>$G$105/4</f>
        <v>5713.5375000000004</v>
      </c>
      <c r="D105" s="6">
        <f t="shared" ref="D105:F105" si="74">$G$105/4</f>
        <v>5713.5375000000004</v>
      </c>
      <c r="E105" s="6">
        <f t="shared" si="74"/>
        <v>5713.5375000000004</v>
      </c>
      <c r="F105" s="6">
        <f t="shared" si="74"/>
        <v>5713.5375000000004</v>
      </c>
      <c r="G105" s="6">
        <f>'Profit and Loss Statement'!G19</f>
        <v>22854.15</v>
      </c>
    </row>
    <row r="106" spans="2:7">
      <c r="B106" s="29" t="s">
        <v>14</v>
      </c>
      <c r="C106" s="6">
        <f>$G$106/4</f>
        <v>14608.592999999999</v>
      </c>
      <c r="D106" s="6">
        <f t="shared" ref="D106:F106" si="75">$G$106/4</f>
        <v>14608.592999999999</v>
      </c>
      <c r="E106" s="6">
        <f t="shared" si="75"/>
        <v>14608.592999999999</v>
      </c>
      <c r="F106" s="6">
        <f t="shared" si="75"/>
        <v>14608.592999999999</v>
      </c>
      <c r="G106" s="6">
        <f>'Profit and Loss Statement'!G20</f>
        <v>58434.371999999996</v>
      </c>
    </row>
    <row r="107" spans="2:7">
      <c r="B107" s="28" t="s">
        <v>8</v>
      </c>
      <c r="C107" s="6">
        <f>SUM(C99:C106)</f>
        <v>280004.71999099996</v>
      </c>
      <c r="D107" s="6">
        <f t="shared" ref="D107:F107" si="76">SUM(D99:D106)</f>
        <v>280004.71999099996</v>
      </c>
      <c r="E107" s="6">
        <f t="shared" si="76"/>
        <v>280004.71999099996</v>
      </c>
      <c r="F107" s="6">
        <f t="shared" si="76"/>
        <v>280004.71999099996</v>
      </c>
      <c r="G107" s="6">
        <f>SUM(G99:G106)</f>
        <v>1120018.8799639998</v>
      </c>
    </row>
    <row r="108" spans="2:7">
      <c r="B108" s="30"/>
    </row>
    <row r="109" spans="2:7">
      <c r="B109" s="24" t="s">
        <v>47</v>
      </c>
      <c r="C109" s="25">
        <f>C96-C107</f>
        <v>161147.780509</v>
      </c>
      <c r="D109" s="25">
        <f t="shared" ref="D109:G109" si="77">D96-D107</f>
        <v>161147.780509</v>
      </c>
      <c r="E109" s="25">
        <f t="shared" si="77"/>
        <v>161147.780509</v>
      </c>
      <c r="F109" s="25">
        <f t="shared" si="77"/>
        <v>161147.780509</v>
      </c>
      <c r="G109" s="25">
        <f t="shared" si="77"/>
        <v>644591.12203600002</v>
      </c>
    </row>
    <row r="110" spans="2:7">
      <c r="B110" s="29" t="s">
        <v>15</v>
      </c>
      <c r="C110" s="6">
        <f>$G$110*L92</f>
        <v>38771.226842218261</v>
      </c>
      <c r="D110" s="6">
        <f t="shared" ref="D110:F110" si="78">$G$110*M92</f>
        <v>38771.226842218261</v>
      </c>
      <c r="E110" s="6">
        <f t="shared" si="78"/>
        <v>38771.226842218261</v>
      </c>
      <c r="F110" s="6">
        <f t="shared" si="78"/>
        <v>38771.226842218261</v>
      </c>
      <c r="G110" s="6">
        <f>'Profit and Loss Statement'!G24</f>
        <v>155084.90736887304</v>
      </c>
    </row>
    <row r="111" spans="2:7">
      <c r="B111" s="29" t="s">
        <v>102</v>
      </c>
      <c r="C111" s="6">
        <f>$G$111*L92</f>
        <v>7754.2453684436523</v>
      </c>
      <c r="D111" s="6">
        <f t="shared" ref="D111:F111" si="79">$G$111*M92</f>
        <v>7754.2453684436523</v>
      </c>
      <c r="E111" s="6">
        <f t="shared" si="79"/>
        <v>7754.2453684436523</v>
      </c>
      <c r="F111" s="6">
        <f t="shared" si="79"/>
        <v>7754.2453684436523</v>
      </c>
      <c r="G111" s="6">
        <f>'Profit and Loss Statement'!G25</f>
        <v>31016.981473774609</v>
      </c>
    </row>
    <row r="112" spans="2:7">
      <c r="B112" s="29" t="s">
        <v>16</v>
      </c>
      <c r="C112" s="6">
        <f>SUM('Loan Amortization Table'!D38:D40)</f>
        <v>3696.7504324602824</v>
      </c>
      <c r="D112" s="6">
        <f>SUM('Loan Amortization Table'!D41:D43)</f>
        <v>3608.5386123796998</v>
      </c>
      <c r="E112" s="6">
        <f>SUM('Loan Amortization Table'!D44:D46)</f>
        <v>3518.7740629814352</v>
      </c>
      <c r="F112" s="6">
        <f>SUM('Loan Amortization Table'!D47:D49)</f>
        <v>3427.4294526864378</v>
      </c>
      <c r="G112" s="6">
        <f>'Profit and Loss Statement'!G26</f>
        <v>14251.492560507855</v>
      </c>
    </row>
    <row r="113" spans="2:15">
      <c r="B113" s="29" t="s">
        <v>54</v>
      </c>
      <c r="C113" s="6">
        <f>$G$113/4</f>
        <v>2500</v>
      </c>
      <c r="D113" s="6">
        <f>$G$113/4</f>
        <v>2500</v>
      </c>
      <c r="E113" s="6">
        <f>$G$113/4</f>
        <v>2500</v>
      </c>
      <c r="F113" s="6">
        <f>$G$113/4</f>
        <v>2500</v>
      </c>
      <c r="G113" s="6">
        <f>'Profit and Loss Statement'!G27</f>
        <v>10000</v>
      </c>
    </row>
    <row r="114" spans="2:15">
      <c r="B114" s="38" t="s">
        <v>17</v>
      </c>
      <c r="C114" s="39">
        <f>C109-SUM(C110:C113)</f>
        <v>108425.55786587781</v>
      </c>
      <c r="D114" s="39">
        <f t="shared" ref="D114:F114" si="80">D109-SUM(D110:D113)</f>
        <v>108513.7696859584</v>
      </c>
      <c r="E114" s="39">
        <f t="shared" si="80"/>
        <v>108603.53423535665</v>
      </c>
      <c r="F114" s="39">
        <f t="shared" si="80"/>
        <v>108694.87884565165</v>
      </c>
      <c r="G114" s="39">
        <f>'Profit and Loss Statement'!G28</f>
        <v>434237.74063284451</v>
      </c>
    </row>
    <row r="117" spans="2:15">
      <c r="B117" s="112"/>
      <c r="K117" s="112"/>
    </row>
    <row r="118" spans="2:15">
      <c r="C118" s="119"/>
      <c r="D118" s="119"/>
      <c r="E118" s="119"/>
      <c r="F118" s="119"/>
      <c r="G118" s="119"/>
      <c r="L118" s="119"/>
      <c r="M118" s="119"/>
      <c r="N118" s="119"/>
      <c r="O118" s="119"/>
    </row>
    <row r="119" spans="2:15">
      <c r="B119" s="123"/>
      <c r="C119" s="1"/>
      <c r="D119" s="1"/>
      <c r="E119" s="1"/>
      <c r="F119" s="1"/>
      <c r="G119" s="1"/>
      <c r="L119" s="125"/>
      <c r="M119" s="125"/>
      <c r="N119" s="125"/>
      <c r="O119" s="125"/>
    </row>
    <row r="120" spans="2:15">
      <c r="C120" s="1"/>
      <c r="D120" s="1"/>
      <c r="E120" s="1"/>
      <c r="F120" s="1"/>
      <c r="G120" s="1"/>
    </row>
    <row r="121" spans="2:15">
      <c r="C121" s="124"/>
      <c r="D121" s="124"/>
      <c r="E121" s="124"/>
      <c r="F121" s="124"/>
      <c r="G121" s="124"/>
    </row>
    <row r="123" spans="2:15">
      <c r="B123" s="123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3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3"/>
      <c r="C136" s="122"/>
      <c r="D136" s="122"/>
      <c r="E136" s="122"/>
      <c r="F136" s="122"/>
      <c r="G136" s="122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3"/>
      <c r="C141" s="122"/>
      <c r="D141" s="122"/>
      <c r="E141" s="122"/>
      <c r="F141" s="122"/>
      <c r="G141" s="122"/>
    </row>
    <row r="144" spans="2:11">
      <c r="B144" s="112"/>
      <c r="K144" s="112"/>
    </row>
    <row r="145" spans="2:15">
      <c r="C145" s="119"/>
      <c r="D145" s="119"/>
      <c r="E145" s="119"/>
      <c r="F145" s="119"/>
      <c r="G145" s="119"/>
      <c r="L145" s="119"/>
      <c r="M145" s="119"/>
      <c r="N145" s="119"/>
      <c r="O145" s="119"/>
    </row>
    <row r="146" spans="2:15">
      <c r="B146" s="123"/>
      <c r="C146" s="1"/>
      <c r="D146" s="1"/>
      <c r="E146" s="1"/>
      <c r="F146" s="1"/>
      <c r="G146" s="1"/>
      <c r="L146" s="125"/>
      <c r="M146" s="125"/>
      <c r="N146" s="125"/>
      <c r="O146" s="125"/>
    </row>
    <row r="147" spans="2:15">
      <c r="C147" s="1"/>
      <c r="D147" s="1"/>
      <c r="E147" s="1"/>
      <c r="F147" s="1"/>
      <c r="G147" s="1"/>
    </row>
    <row r="148" spans="2:15">
      <c r="C148" s="124"/>
      <c r="D148" s="124"/>
      <c r="E148" s="124"/>
      <c r="F148" s="124"/>
      <c r="G148" s="124"/>
    </row>
    <row r="150" spans="2:15">
      <c r="B150" s="123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3"/>
      <c r="C161" s="1"/>
      <c r="D161" s="1"/>
      <c r="E161" s="1"/>
      <c r="F161" s="1"/>
      <c r="G161" s="1"/>
    </row>
    <row r="163" spans="2:7">
      <c r="B163" s="123"/>
      <c r="C163" s="122"/>
      <c r="D163" s="122"/>
      <c r="E163" s="122"/>
      <c r="F163" s="122"/>
      <c r="G163" s="122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3"/>
      <c r="C168" s="122"/>
      <c r="D168" s="122"/>
      <c r="E168" s="122"/>
      <c r="F168" s="122"/>
      <c r="G168" s="122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workbookViewId="0">
      <selection activeCell="P37" sqref="P37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15132.084699319488</v>
      </c>
      <c r="E6" s="13">
        <f>'Expanded Profit and Loss'!D28+'Expanded Profit and Loss'!D27</f>
        <v>15150.543386962687</v>
      </c>
      <c r="F6" s="13">
        <f>'Expanded Profit and Loss'!E28+'Expanded Profit and Loss'!E27</f>
        <v>15169.051223601515</v>
      </c>
      <c r="G6" s="13">
        <f>'Expanded Profit and Loss'!F28+'Expanded Profit and Loss'!F27</f>
        <v>15187.608495938481</v>
      </c>
      <c r="H6" s="13">
        <f>'Expanded Profit and Loss'!G28+'Expanded Profit and Loss'!G27</f>
        <v>15206.215492348427</v>
      </c>
      <c r="I6" s="13">
        <f>'Expanded Profit and Loss'!H28+'Expanded Profit and Loss'!H27</f>
        <v>15224.872502888478</v>
      </c>
      <c r="J6" s="13">
        <f>'Expanded Profit and Loss'!I28+'Expanded Profit and Loss'!I27</f>
        <v>15243.579819307726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50000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250000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833.33333333333337</v>
      </c>
      <c r="E11" s="13">
        <f t="shared" ref="E11:J11" si="1">$I$36/12</f>
        <v>833.33333333333337</v>
      </c>
      <c r="F11" s="13">
        <f t="shared" si="1"/>
        <v>833.33333333333337</v>
      </c>
      <c r="G11" s="13">
        <f t="shared" si="1"/>
        <v>833.33333333333337</v>
      </c>
      <c r="H11" s="13">
        <f t="shared" si="1"/>
        <v>833.33333333333337</v>
      </c>
      <c r="I11" s="13">
        <f t="shared" si="1"/>
        <v>833.33333333333337</v>
      </c>
      <c r="J11" s="13">
        <f t="shared" si="1"/>
        <v>833.33333333333337</v>
      </c>
    </row>
    <row r="12" spans="3:10">
      <c r="C12" s="37" t="s">
        <v>23</v>
      </c>
      <c r="D12" s="26">
        <f>SUM(D9:D11)</f>
        <v>300833.33333333331</v>
      </c>
      <c r="E12" s="26">
        <f t="shared" ref="E12:J12" si="2">SUM(E9:E11)</f>
        <v>833.33333333333337</v>
      </c>
      <c r="F12" s="26">
        <f t="shared" si="2"/>
        <v>833.33333333333337</v>
      </c>
      <c r="G12" s="26">
        <f t="shared" si="2"/>
        <v>833.33333333333337</v>
      </c>
      <c r="H12" s="26">
        <f t="shared" si="2"/>
        <v>833.33333333333337</v>
      </c>
      <c r="I12" s="26">
        <f t="shared" si="2"/>
        <v>833.33333333333337</v>
      </c>
      <c r="J12" s="26">
        <f t="shared" si="2"/>
        <v>833.33333333333337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315965.41803265281</v>
      </c>
      <c r="E15" s="27">
        <f t="shared" ref="E15:J15" si="3">E6+E12</f>
        <v>15983.876720296021</v>
      </c>
      <c r="F15" s="27">
        <f t="shared" si="3"/>
        <v>16002.384556934849</v>
      </c>
      <c r="G15" s="27">
        <f t="shared" si="3"/>
        <v>16020.941829271815</v>
      </c>
      <c r="H15" s="27">
        <f t="shared" si="3"/>
        <v>16039.548825681761</v>
      </c>
      <c r="I15" s="27">
        <f t="shared" si="3"/>
        <v>16058.205836221812</v>
      </c>
      <c r="J15" s="27">
        <f t="shared" si="3"/>
        <v>16076.91315264106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1444.3786471322678</v>
      </c>
      <c r="E18" s="6">
        <f>'Loan Amortization Table'!C15</f>
        <v>1452.8041892405395</v>
      </c>
      <c r="F18" s="6">
        <f>'Loan Amortization Table'!C16</f>
        <v>1461.2788803444425</v>
      </c>
      <c r="G18" s="6">
        <f>'Loan Amortization Table'!C17</f>
        <v>1469.8030071464518</v>
      </c>
      <c r="H18" s="6">
        <f>'Loan Amortization Table'!C18</f>
        <v>1478.3768580214728</v>
      </c>
      <c r="I18" s="6">
        <f>'Loan Amortization Table'!C19</f>
        <v>1487.0007230265983</v>
      </c>
      <c r="J18" s="6">
        <f>'Loan Amortization Table'!C20</f>
        <v>1495.67489391092</v>
      </c>
    </row>
    <row r="19" spans="3:10">
      <c r="C19" s="12" t="s">
        <v>25</v>
      </c>
      <c r="D19" s="13">
        <f>$I$44/12</f>
        <v>583.33333333333337</v>
      </c>
      <c r="E19" s="13">
        <f t="shared" ref="E19:J19" si="4">$I$44/12</f>
        <v>583.33333333333337</v>
      </c>
      <c r="F19" s="13">
        <f t="shared" si="4"/>
        <v>583.33333333333337</v>
      </c>
      <c r="G19" s="13">
        <f t="shared" si="4"/>
        <v>583.33333333333337</v>
      </c>
      <c r="H19" s="13">
        <f t="shared" si="4"/>
        <v>583.33333333333337</v>
      </c>
      <c r="I19" s="13">
        <f t="shared" si="4"/>
        <v>583.33333333333337</v>
      </c>
      <c r="J19" s="13">
        <f t="shared" si="4"/>
        <v>583.33333333333337</v>
      </c>
    </row>
    <row r="20" spans="3:10">
      <c r="C20" s="31" t="s">
        <v>33</v>
      </c>
      <c r="D20" s="6">
        <f>I45</f>
        <v>25000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27027.711980465603</v>
      </c>
      <c r="E22" s="26">
        <f t="shared" ref="E22:J22" si="5">SUM(E18:E21)</f>
        <v>2036.137522573873</v>
      </c>
      <c r="F22" s="26">
        <f t="shared" si="5"/>
        <v>2044.6122136777758</v>
      </c>
      <c r="G22" s="26">
        <f t="shared" si="5"/>
        <v>2053.1363404797853</v>
      </c>
      <c r="H22" s="26">
        <f t="shared" si="5"/>
        <v>2061.7101913548063</v>
      </c>
      <c r="I22" s="26">
        <f t="shared" si="5"/>
        <v>2070.3340563599318</v>
      </c>
      <c r="J22" s="26">
        <f t="shared" si="5"/>
        <v>2079.0082272442532</v>
      </c>
    </row>
    <row r="23" spans="3:10">
      <c r="C23" s="30"/>
    </row>
    <row r="24" spans="3:10">
      <c r="C24" s="42" t="s">
        <v>27</v>
      </c>
      <c r="D24" s="25">
        <f>D15-D22</f>
        <v>288937.70605218719</v>
      </c>
      <c r="E24" s="25">
        <f t="shared" ref="E24:J24" si="6">E15-E22</f>
        <v>13947.739197722149</v>
      </c>
      <c r="F24" s="25">
        <f t="shared" si="6"/>
        <v>13957.772343257073</v>
      </c>
      <c r="G24" s="25">
        <f t="shared" si="6"/>
        <v>13967.80548879203</v>
      </c>
      <c r="H24" s="25">
        <f t="shared" si="6"/>
        <v>13977.838634326954</v>
      </c>
      <c r="I24" s="25">
        <f t="shared" si="6"/>
        <v>13987.87177986188</v>
      </c>
      <c r="J24" s="25">
        <f t="shared" si="6"/>
        <v>13997.904925396808</v>
      </c>
    </row>
    <row r="25" spans="3:10">
      <c r="C25" s="42" t="s">
        <v>6</v>
      </c>
      <c r="D25" s="25">
        <f>D24</f>
        <v>288937.70605218719</v>
      </c>
      <c r="E25" s="25">
        <f>D25+E24</f>
        <v>302885.44524990936</v>
      </c>
      <c r="F25" s="25">
        <f t="shared" ref="F25:J25" si="7">E25+F24</f>
        <v>316843.21759316645</v>
      </c>
      <c r="G25" s="25">
        <f t="shared" si="7"/>
        <v>330811.02308195847</v>
      </c>
      <c r="H25" s="25">
        <f t="shared" si="7"/>
        <v>344788.86171628541</v>
      </c>
      <c r="I25" s="25">
        <f t="shared" si="7"/>
        <v>358776.73349614727</v>
      </c>
      <c r="J25" s="25">
        <f t="shared" si="7"/>
        <v>372774.63842154405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15262.337735057134</v>
      </c>
      <c r="E31" s="13">
        <f>'Expanded Profit and Loss'!D56+'Expanded Profit and Loss'!D55</f>
        <v>15281.146545299485</v>
      </c>
      <c r="F31" s="13">
        <f>'Expanded Profit and Loss'!E56+'Expanded Profit and Loss'!E55</f>
        <v>15300.00654691927</v>
      </c>
      <c r="G31" s="13">
        <f>'Expanded Profit and Loss'!F56+'Expanded Profit and Loss'!F55</f>
        <v>15318.918038532882</v>
      </c>
      <c r="H31" s="13">
        <f>'Expanded Profit and Loss'!G56+'Expanded Profit and Loss'!G55</f>
        <v>15337.881320498622</v>
      </c>
      <c r="I31" s="13">
        <f>'Cash Flow Analysis'!E6</f>
        <v>182814.24580667436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50000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250000</v>
      </c>
      <c r="J35" s="30"/>
    </row>
    <row r="36" spans="3:10">
      <c r="C36" s="12" t="s">
        <v>22</v>
      </c>
      <c r="D36" s="13">
        <f>$I$36/12</f>
        <v>833.33333333333337</v>
      </c>
      <c r="E36" s="13">
        <f t="shared" ref="E36:H36" si="11">$I$36/12</f>
        <v>833.33333333333337</v>
      </c>
      <c r="F36" s="13">
        <f t="shared" si="11"/>
        <v>833.33333333333337</v>
      </c>
      <c r="G36" s="13">
        <f t="shared" si="11"/>
        <v>833.33333333333337</v>
      </c>
      <c r="H36" s="13">
        <f t="shared" si="11"/>
        <v>833.33333333333337</v>
      </c>
      <c r="I36" s="20">
        <f>'Cash Flow Analysis'!E11</f>
        <v>10000</v>
      </c>
      <c r="J36" s="30"/>
    </row>
    <row r="37" spans="3:10">
      <c r="C37" s="37" t="s">
        <v>23</v>
      </c>
      <c r="D37" s="26">
        <f>SUM(D34:D36)</f>
        <v>833.33333333333337</v>
      </c>
      <c r="E37" s="26">
        <f t="shared" ref="E37:H37" si="12">SUM(E34:E36)</f>
        <v>833.33333333333337</v>
      </c>
      <c r="F37" s="26">
        <f t="shared" si="12"/>
        <v>833.33333333333337</v>
      </c>
      <c r="G37" s="26">
        <f t="shared" si="12"/>
        <v>833.33333333333337</v>
      </c>
      <c r="H37" s="26">
        <f t="shared" si="12"/>
        <v>833.33333333333337</v>
      </c>
      <c r="I37" s="44">
        <f>'Cash Flow Analysis'!E12</f>
        <v>310000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16095.671068390468</v>
      </c>
      <c r="E40" s="27">
        <f t="shared" ref="E40:H40" si="13">E31+E37</f>
        <v>16114.479878632819</v>
      </c>
      <c r="F40" s="27">
        <f t="shared" si="13"/>
        <v>16133.339880252604</v>
      </c>
      <c r="G40" s="27">
        <f t="shared" si="13"/>
        <v>16152.251371866216</v>
      </c>
      <c r="H40" s="27">
        <f t="shared" si="13"/>
        <v>16171.214653831956</v>
      </c>
      <c r="I40" s="36">
        <f>'Cash Flow Analysis'!E15</f>
        <v>492814.24580667436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1504.3996641254005</v>
      </c>
      <c r="E43" s="6">
        <f>'Loan Amortization Table'!C22</f>
        <v>1513.1753288327986</v>
      </c>
      <c r="F43" s="6">
        <f>'Loan Amortization Table'!C23</f>
        <v>1522.0021849176565</v>
      </c>
      <c r="G43" s="6">
        <f>'Loan Amortization Table'!C24</f>
        <v>1530.8805309963429</v>
      </c>
      <c r="H43" s="6">
        <f>'Loan Amortization Table'!C25</f>
        <v>1539.8106674271548</v>
      </c>
      <c r="I43" s="6">
        <f>'Cash Flow Analysis'!E18</f>
        <v>17899.585575122044</v>
      </c>
      <c r="J43" s="30"/>
    </row>
    <row r="44" spans="3:10">
      <c r="C44" s="12" t="s">
        <v>25</v>
      </c>
      <c r="D44" s="13">
        <f>$I$44/12</f>
        <v>583.33333333333337</v>
      </c>
      <c r="E44" s="13">
        <f t="shared" ref="E44:H44" si="14">$I$44/12</f>
        <v>583.33333333333337</v>
      </c>
      <c r="F44" s="13">
        <f t="shared" si="14"/>
        <v>583.33333333333337</v>
      </c>
      <c r="G44" s="13">
        <f t="shared" si="14"/>
        <v>583.33333333333337</v>
      </c>
      <c r="H44" s="13">
        <f t="shared" si="14"/>
        <v>583.33333333333337</v>
      </c>
      <c r="I44" s="13">
        <f>'Cash Flow Analysis'!E19</f>
        <v>7000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25000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127969.97206467204</v>
      </c>
      <c r="I46" s="13">
        <f>'Cash Flow Analysis'!E21</f>
        <v>127969.97206467204</v>
      </c>
      <c r="J46" s="30"/>
    </row>
    <row r="47" spans="3:10">
      <c r="C47" s="37" t="s">
        <v>26</v>
      </c>
      <c r="D47" s="26">
        <f>SUM(D43:D46)</f>
        <v>2087.7329974587337</v>
      </c>
      <c r="E47" s="26">
        <f t="shared" ref="E47:H47" si="15">SUM(E43:E46)</f>
        <v>2096.5086621661321</v>
      </c>
      <c r="F47" s="26">
        <f t="shared" si="15"/>
        <v>2105.3355182509899</v>
      </c>
      <c r="G47" s="26">
        <f t="shared" si="15"/>
        <v>2114.2138643296762</v>
      </c>
      <c r="H47" s="26">
        <f t="shared" si="15"/>
        <v>130093.11606543252</v>
      </c>
      <c r="I47" s="26">
        <f>'Cash Flow Analysis'!E22</f>
        <v>177869.55763979407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14007.938070931734</v>
      </c>
      <c r="E49" s="25">
        <f t="shared" ref="E49:H49" si="16">E40-E47</f>
        <v>14017.971216466687</v>
      </c>
      <c r="F49" s="25">
        <f t="shared" si="16"/>
        <v>14028.004362001615</v>
      </c>
      <c r="G49" s="25">
        <f t="shared" si="16"/>
        <v>14038.037507536539</v>
      </c>
      <c r="H49" s="25">
        <f t="shared" si="16"/>
        <v>-113921.90141160057</v>
      </c>
      <c r="I49" s="45">
        <f>'Cash Flow Analysis'!E24</f>
        <v>314944.68816688028</v>
      </c>
      <c r="J49" s="30"/>
    </row>
    <row r="50" spans="3:10">
      <c r="C50" s="42" t="s">
        <v>6</v>
      </c>
      <c r="D50" s="25">
        <f>J25+D49</f>
        <v>386782.57649247581</v>
      </c>
      <c r="E50" s="25">
        <f>D50+E49</f>
        <v>400800.5477089425</v>
      </c>
      <c r="F50" s="25">
        <f t="shared" ref="F50:H50" si="17">E50+F49</f>
        <v>414828.5520709441</v>
      </c>
      <c r="G50" s="25">
        <f t="shared" si="17"/>
        <v>428866.58957848063</v>
      </c>
      <c r="H50" s="25">
        <f t="shared" si="17"/>
        <v>314944.68816688005</v>
      </c>
      <c r="I50" s="45">
        <f>'Cash Flow Analysis'!E25</f>
        <v>314944.68816688028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80444.423964876769</v>
      </c>
      <c r="E58" s="48">
        <f>'Expanded Profit and Loss'!D84+'Expanded Profit and Loss'!D83</f>
        <v>80526.688849776328</v>
      </c>
      <c r="F58" s="48">
        <f>'Expanded Profit and Loss'!E84+'Expanded Profit and Loss'!E83</f>
        <v>80610.401784364498</v>
      </c>
      <c r="G58" s="48">
        <f>'Expanded Profit and Loss'!F84+'Expanded Profit and Loss'!F83</f>
        <v>80695.588257619995</v>
      </c>
      <c r="H58" s="46">
        <f>'Cash Flow Analysis'!F6</f>
        <v>322277.10285663756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2550</v>
      </c>
      <c r="E63" s="49">
        <f>$H$63/4</f>
        <v>2550</v>
      </c>
      <c r="F63" s="49">
        <f>$H$63/4</f>
        <v>2550</v>
      </c>
      <c r="G63" s="49">
        <f>$H$63/4</f>
        <v>2550</v>
      </c>
      <c r="H63" s="13">
        <f>'Cash Flow Analysis'!F11</f>
        <v>10200</v>
      </c>
    </row>
    <row r="64" spans="3:10">
      <c r="C64" s="37" t="s">
        <v>23</v>
      </c>
      <c r="D64" s="51">
        <f>SUM(D61:D63)</f>
        <v>2550</v>
      </c>
      <c r="E64" s="51">
        <f t="shared" ref="E64:G64" si="18">SUM(E61:E63)</f>
        <v>2550</v>
      </c>
      <c r="F64" s="51">
        <f t="shared" si="18"/>
        <v>2550</v>
      </c>
      <c r="G64" s="51">
        <f t="shared" si="18"/>
        <v>2550</v>
      </c>
      <c r="H64" s="32">
        <f>'Cash Flow Analysis'!F12</f>
        <v>10200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82994.423964876769</v>
      </c>
      <c r="E67" s="48">
        <f t="shared" ref="E67:G67" si="19">E58+E64</f>
        <v>83076.688849776328</v>
      </c>
      <c r="F67" s="48">
        <f t="shared" si="19"/>
        <v>83160.401784364498</v>
      </c>
      <c r="G67" s="48">
        <f t="shared" si="19"/>
        <v>83245.588257619995</v>
      </c>
      <c r="H67" s="27">
        <f>'Cash Flow Analysis'!F15</f>
        <v>332477.10285663756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4673.5352666275476</v>
      </c>
      <c r="E70" s="50">
        <f>SUM('Loan Amortization Table'!C29:C31)</f>
        <v>4755.8001515271117</v>
      </c>
      <c r="F70" s="50">
        <f>SUM('Loan Amortization Table'!C32:C34)</f>
        <v>4839.5130861152838</v>
      </c>
      <c r="G70" s="50">
        <f>SUM('Loan Amortization Table'!C35:C37)</f>
        <v>4924.6995593707843</v>
      </c>
      <c r="H70" s="32">
        <f>'Cash Flow Analysis'!F18</f>
        <v>19193.548063640723</v>
      </c>
    </row>
    <row r="71" spans="3:8">
      <c r="C71" s="12" t="s">
        <v>25</v>
      </c>
      <c r="D71" s="49">
        <f>$H$71/4</f>
        <v>1785</v>
      </c>
      <c r="E71" s="49">
        <f>$H$71/4</f>
        <v>1785</v>
      </c>
      <c r="F71" s="49">
        <f>$H$71/4</f>
        <v>1785</v>
      </c>
      <c r="G71" s="49">
        <f>$H$71/4</f>
        <v>1785</v>
      </c>
      <c r="H71" s="13">
        <f>'Cash Flow Analysis'!F19</f>
        <v>7140</v>
      </c>
    </row>
    <row r="72" spans="3:8">
      <c r="C72" s="31" t="s">
        <v>33</v>
      </c>
      <c r="D72" s="50">
        <f>H72</f>
        <v>16113.855142831879</v>
      </c>
      <c r="E72" s="50">
        <v>0</v>
      </c>
      <c r="F72" s="50">
        <v>0</v>
      </c>
      <c r="G72" s="50">
        <v>0</v>
      </c>
      <c r="H72" s="32">
        <f>'Cash Flow Analysis'!F20</f>
        <v>16113.855142831879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225593.97199964628</v>
      </c>
      <c r="H73" s="13">
        <f>'Cash Flow Analysis'!F21</f>
        <v>225593.97199964628</v>
      </c>
    </row>
    <row r="74" spans="3:8">
      <c r="C74" s="37" t="s">
        <v>26</v>
      </c>
      <c r="D74" s="51">
        <f>SUM(D70:D73)</f>
        <v>22572.390409459425</v>
      </c>
      <c r="E74" s="51">
        <f t="shared" ref="E74:G74" si="20">SUM(E70:E73)</f>
        <v>6540.8001515271117</v>
      </c>
      <c r="F74" s="51">
        <f t="shared" si="20"/>
        <v>6624.5130861152838</v>
      </c>
      <c r="G74" s="51">
        <f t="shared" si="20"/>
        <v>232303.67155901706</v>
      </c>
      <c r="H74" s="34">
        <f>'Cash Flow Analysis'!F22</f>
        <v>268041.37520611892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60422.033555417343</v>
      </c>
      <c r="E76" s="52">
        <f t="shared" ref="E76:G76" si="21">E67-E74</f>
        <v>76535.888698249211</v>
      </c>
      <c r="F76" s="52">
        <f t="shared" si="21"/>
        <v>76535.888698249211</v>
      </c>
      <c r="G76" s="52">
        <f t="shared" si="21"/>
        <v>-149058.08330139707</v>
      </c>
      <c r="H76" s="40">
        <f>'Cash Flow Analysis'!F24</f>
        <v>64435.727650518646</v>
      </c>
    </row>
    <row r="77" spans="3:8">
      <c r="C77" s="42" t="s">
        <v>6</v>
      </c>
      <c r="D77" s="52">
        <f>I50+D76</f>
        <v>375366.7217222976</v>
      </c>
      <c r="E77" s="52">
        <f>D77+E76</f>
        <v>451902.61042054684</v>
      </c>
      <c r="F77" s="52">
        <f t="shared" ref="F77:G77" si="22">E77+F76</f>
        <v>528438.49911879608</v>
      </c>
      <c r="G77" s="52">
        <f t="shared" si="22"/>
        <v>379380.41581739904</v>
      </c>
      <c r="H77" s="40">
        <f>'Cash Flow Analysis'!F25</f>
        <v>379380.41581739893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110925.55786587781</v>
      </c>
      <c r="E84" s="48">
        <f>'Expanded Profit and Loss'!D114+'Expanded Profit and Loss'!D113</f>
        <v>111013.7696859584</v>
      </c>
      <c r="F84" s="48">
        <f>'Expanded Profit and Loss'!E114+'Expanded Profit and Loss'!E113</f>
        <v>111103.53423535665</v>
      </c>
      <c r="G84" s="48">
        <f>'Expanded Profit and Loss'!F114+'Expanded Profit and Loss'!F113</f>
        <v>111194.87884565165</v>
      </c>
      <c r="H84" s="27">
        <f>'Cash Flow Analysis'!G6</f>
        <v>444237.74063284451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2601</v>
      </c>
      <c r="E89" s="49">
        <f>$H$89/4</f>
        <v>2601</v>
      </c>
      <c r="F89" s="49">
        <f>$H$89/4</f>
        <v>2601</v>
      </c>
      <c r="G89" s="49">
        <f>$H$89/4</f>
        <v>2601</v>
      </c>
      <c r="H89" s="13">
        <f>'Cash Flow Analysis'!G12</f>
        <v>10404</v>
      </c>
    </row>
    <row r="90" spans="3:8">
      <c r="C90" s="37" t="s">
        <v>23</v>
      </c>
      <c r="D90" s="51">
        <f>SUM(D87:D89)</f>
        <v>2601</v>
      </c>
      <c r="E90" s="51">
        <f t="shared" ref="E90:G90" si="23">SUM(E87:E89)</f>
        <v>2601</v>
      </c>
      <c r="F90" s="51">
        <f t="shared" si="23"/>
        <v>2601</v>
      </c>
      <c r="G90" s="51">
        <f t="shared" si="23"/>
        <v>2601</v>
      </c>
      <c r="H90" s="34">
        <f>'Cash Flow Analysis'!G12</f>
        <v>10404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113526.55786587781</v>
      </c>
      <c r="E93" s="48">
        <f t="shared" ref="E93:G93" si="24">E90+E84</f>
        <v>113614.7696859584</v>
      </c>
      <c r="F93" s="48">
        <f t="shared" si="24"/>
        <v>113704.53423535665</v>
      </c>
      <c r="G93" s="48">
        <f t="shared" si="24"/>
        <v>113795.87884565165</v>
      </c>
      <c r="H93" s="27">
        <f>'Cash Flow Analysis'!G15</f>
        <v>454641.74063284451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5011.3855089365215</v>
      </c>
      <c r="E96" s="50">
        <f>SUM('Loan Amortization Table'!C41:C43)</f>
        <v>5099.5973290171041</v>
      </c>
      <c r="F96" s="50">
        <f>SUM('Loan Amortization Table'!C44:C46)</f>
        <v>5189.3618784153687</v>
      </c>
      <c r="G96" s="50">
        <f>SUM('Loan Amortization Table'!C47:C49)</f>
        <v>5280.7064887103661</v>
      </c>
      <c r="H96" s="32">
        <f>'Cash Flow Analysis'!G18</f>
        <v>20581.051205079362</v>
      </c>
    </row>
    <row r="97" spans="3:8">
      <c r="C97" s="12" t="s">
        <v>25</v>
      </c>
      <c r="D97" s="49">
        <f>$H$97/4</f>
        <v>1820.6999999999998</v>
      </c>
      <c r="E97" s="49">
        <f t="shared" ref="E97:G97" si="25">$H$97/4</f>
        <v>1820.6999999999998</v>
      </c>
      <c r="F97" s="49">
        <f t="shared" si="25"/>
        <v>1820.6999999999998</v>
      </c>
      <c r="G97" s="49">
        <f t="shared" si="25"/>
        <v>1820.6999999999998</v>
      </c>
      <c r="H97" s="13">
        <f>'Cash Flow Analysis'!G19</f>
        <v>7282.7999999999993</v>
      </c>
    </row>
    <row r="98" spans="3:8">
      <c r="C98" s="31" t="s">
        <v>33</v>
      </c>
      <c r="D98" s="50">
        <f>H98</f>
        <v>22211.887031642225</v>
      </c>
      <c r="E98" s="50">
        <v>0</v>
      </c>
      <c r="F98" s="50">
        <v>0</v>
      </c>
      <c r="G98" s="50">
        <v>0</v>
      </c>
      <c r="H98" s="32">
        <f>'Cash Flow Analysis'!G20</f>
        <v>22211.887031642225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310966.41844299115</v>
      </c>
      <c r="H99" s="13">
        <f>'Cash Flow Analysis'!G21</f>
        <v>310966.41844299115</v>
      </c>
    </row>
    <row r="100" spans="3:8">
      <c r="C100" s="37" t="s">
        <v>26</v>
      </c>
      <c r="D100" s="51">
        <f>SUM(D96:D99)</f>
        <v>29043.972540578747</v>
      </c>
      <c r="E100" s="51">
        <f t="shared" ref="E100:G100" si="26">SUM(E96:E99)</f>
        <v>6920.2973290171039</v>
      </c>
      <c r="F100" s="51">
        <f t="shared" si="26"/>
        <v>7010.0618784153685</v>
      </c>
      <c r="G100" s="51">
        <f t="shared" si="26"/>
        <v>318067.82493170153</v>
      </c>
      <c r="H100" s="34">
        <f>'Cash Flow Analysis'!G22</f>
        <v>361042.15667971276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84482.585325299064</v>
      </c>
      <c r="E102" s="52">
        <f t="shared" ref="E102:G102" si="27">E93-E100</f>
        <v>106694.47235694129</v>
      </c>
      <c r="F102" s="52">
        <f t="shared" si="27"/>
        <v>106694.47235694129</v>
      </c>
      <c r="G102" s="52">
        <f t="shared" si="27"/>
        <v>-204271.94608604989</v>
      </c>
      <c r="H102" s="40">
        <f>'Cash Flow Analysis'!G24</f>
        <v>93599.583953131747</v>
      </c>
    </row>
    <row r="103" spans="3:8">
      <c r="C103" s="42" t="s">
        <v>6</v>
      </c>
      <c r="D103" s="52">
        <f>G77+D102</f>
        <v>463863.00114269811</v>
      </c>
      <c r="E103" s="52">
        <f>D103+E102</f>
        <v>570557.47349963943</v>
      </c>
      <c r="F103" s="52">
        <f t="shared" ref="F103:G103" si="28">E103+F102</f>
        <v>677251.94585658074</v>
      </c>
      <c r="G103" s="52">
        <f t="shared" si="28"/>
        <v>472979.99977053085</v>
      </c>
      <c r="H103" s="40">
        <f>'Cash Flow Analysis'!G25</f>
        <v>472979.99977053067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19"/>
      <c r="E107" s="119"/>
      <c r="F107" s="119"/>
      <c r="G107" s="119"/>
      <c r="H107" s="119"/>
    </row>
    <row r="108" spans="3:8">
      <c r="C108" s="123"/>
      <c r="D108" s="122"/>
      <c r="E108" s="122"/>
      <c r="F108" s="122"/>
      <c r="G108" s="122"/>
      <c r="H108" s="122"/>
    </row>
    <row r="110" spans="3:8">
      <c r="C110" s="123"/>
      <c r="D110" s="123"/>
      <c r="E110" s="123"/>
      <c r="F110" s="123"/>
      <c r="G110" s="123"/>
      <c r="H110" s="123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3"/>
      <c r="D114" s="122"/>
      <c r="E114" s="122"/>
      <c r="F114" s="122"/>
      <c r="G114" s="122"/>
      <c r="H114" s="122"/>
    </row>
    <row r="117" spans="3:10">
      <c r="C117" s="123"/>
      <c r="D117" s="122"/>
      <c r="E117" s="122"/>
      <c r="F117" s="122"/>
      <c r="G117" s="122"/>
      <c r="H117" s="122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3"/>
      <c r="D124" s="122"/>
      <c r="E124" s="122"/>
      <c r="F124" s="122"/>
      <c r="G124" s="122"/>
      <c r="H124" s="122"/>
    </row>
    <row r="126" spans="3:10">
      <c r="C126" s="123"/>
      <c r="D126" s="122"/>
      <c r="E126" s="122"/>
      <c r="F126" s="122"/>
      <c r="G126" s="122"/>
      <c r="H126" s="122"/>
    </row>
    <row r="127" spans="3:10">
      <c r="C127" s="123"/>
      <c r="D127" s="122"/>
      <c r="E127" s="122"/>
      <c r="F127" s="122"/>
      <c r="G127" s="122"/>
      <c r="H127" s="122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19"/>
      <c r="E131" s="119"/>
      <c r="F131" s="119"/>
      <c r="G131" s="119"/>
      <c r="H131" s="119"/>
    </row>
    <row r="132" spans="3:8">
      <c r="C132" s="123"/>
      <c r="D132" s="122"/>
      <c r="E132" s="122"/>
      <c r="F132" s="122"/>
      <c r="G132" s="122"/>
      <c r="H132" s="122"/>
    </row>
    <row r="134" spans="3:8">
      <c r="C134" s="123"/>
      <c r="D134" s="123"/>
      <c r="E134" s="123"/>
      <c r="F134" s="123"/>
      <c r="G134" s="123"/>
      <c r="H134" s="123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3"/>
      <c r="D138" s="122"/>
      <c r="E138" s="122"/>
      <c r="F138" s="122"/>
      <c r="G138" s="122"/>
      <c r="H138" s="122"/>
    </row>
    <row r="141" spans="3:8">
      <c r="C141" s="123"/>
      <c r="D141" s="122"/>
      <c r="E141" s="122"/>
      <c r="F141" s="122"/>
      <c r="G141" s="122"/>
      <c r="H141" s="122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3"/>
      <c r="D148" s="122"/>
      <c r="E148" s="122"/>
      <c r="F148" s="122"/>
      <c r="G148" s="122"/>
      <c r="H148" s="122"/>
    </row>
    <row r="150" spans="3:8">
      <c r="C150" s="123"/>
      <c r="D150" s="122"/>
      <c r="E150" s="122"/>
      <c r="F150" s="122"/>
      <c r="G150" s="122"/>
      <c r="H150" s="122"/>
    </row>
    <row r="151" spans="3:8">
      <c r="C151" s="123"/>
      <c r="D151" s="122"/>
      <c r="E151" s="122"/>
      <c r="F151" s="122"/>
      <c r="G151" s="122"/>
      <c r="H151" s="12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Revenue Overview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2025-10-03T15:01:03Z</dcterms:modified>
</cp:coreProperties>
</file>