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Microgreens Farm\"/>
    </mc:Choice>
  </mc:AlternateContent>
  <xr:revisionPtr revIDLastSave="0" documentId="13_ncr:1_{CD42D81F-EBA6-412F-A89E-7C8600CAD45A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Revenue Overview" sheetId="9" r:id="rId3"/>
    <sheet name="Use of Funds" sheetId="6" r:id="rId4"/>
    <sheet name="Profit and Loss Statement" sheetId="2" r:id="rId5"/>
    <sheet name="Cash Flow Analysis" sheetId="3" r:id="rId6"/>
    <sheet name="Balance Sheet" sheetId="4" r:id="rId7"/>
    <sheet name="Expanded Profit and Loss" sheetId="11" r:id="rId8"/>
    <sheet name=" Expanded Cash Flow Analysis" sheetId="12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7" l="1"/>
  <c r="B26" i="7"/>
  <c r="B27" i="7"/>
  <c r="B28" i="7"/>
  <c r="B29" i="7"/>
  <c r="G11" i="7" s="1"/>
  <c r="L36" i="7" s="1"/>
  <c r="B30" i="7"/>
  <c r="B31" i="7"/>
  <c r="B32" i="7"/>
  <c r="G14" i="7" s="1"/>
  <c r="B33" i="7"/>
  <c r="B24" i="7"/>
  <c r="M36" i="7"/>
  <c r="M37" i="7"/>
  <c r="M38" i="7"/>
  <c r="M39" i="7"/>
  <c r="M40" i="7"/>
  <c r="E6" i="6"/>
  <c r="H8" i="14"/>
  <c r="G8" i="14"/>
  <c r="C33" i="23"/>
  <c r="J8" i="9"/>
  <c r="J9" i="9"/>
  <c r="J10" i="9"/>
  <c r="J11" i="9"/>
  <c r="J12" i="9"/>
  <c r="J13" i="9"/>
  <c r="J14" i="9"/>
  <c r="J15" i="9"/>
  <c r="E20" i="3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L37" i="7" s="1"/>
  <c r="G13" i="7"/>
  <c r="L38" i="7" s="1"/>
  <c r="G15" i="7"/>
  <c r="G27" i="7" s="1"/>
  <c r="L31" i="7"/>
  <c r="E9" i="4"/>
  <c r="F9" i="4" s="1"/>
  <c r="G9" i="4" s="1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D87" i="12"/>
  <c r="H87" i="12"/>
  <c r="D88" i="12"/>
  <c r="H88" i="12"/>
  <c r="E23" i="6"/>
  <c r="D61" i="12"/>
  <c r="H62" i="12"/>
  <c r="D62" i="12" s="1"/>
  <c r="H61" i="12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G19" i="3" s="1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G26" i="7" l="1"/>
  <c r="L39" i="7"/>
  <c r="L40" i="7"/>
  <c r="E36" i="12"/>
  <c r="E37" i="12" s="1"/>
  <c r="F19" i="3"/>
  <c r="H36" i="12"/>
  <c r="H37" i="12" s="1"/>
  <c r="D33" i="23"/>
  <c r="D52" i="23" s="1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19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E61" i="23" l="1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E21" i="3" s="1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1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G21" i="3" l="1"/>
  <c r="H99" i="12" s="1"/>
  <c r="G99" i="12" s="1"/>
  <c r="G100" i="12" s="1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A227" i="8"/>
  <c r="B226" i="8"/>
  <c r="D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s="1"/>
  <c r="E260" i="8" s="1"/>
  <c r="A262" i="8" l="1"/>
  <c r="D261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A270" i="8"/>
  <c r="B269" i="8"/>
  <c r="D269" i="8"/>
  <c r="C269" i="8" l="1"/>
  <c r="E269" i="8" s="1"/>
  <c r="A271" i="8"/>
  <c r="B270" i="8"/>
  <c r="D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C295" i="8" s="1"/>
  <c r="E295" i="8" s="1"/>
  <c r="D295" i="8"/>
  <c r="A296" i="8"/>
  <c r="D296" i="8" l="1"/>
  <c r="B296" i="8"/>
  <c r="C296" i="8" s="1"/>
  <c r="E296" i="8" s="1"/>
  <c r="A297" i="8"/>
  <c r="D297" i="8" l="1"/>
  <c r="A298" i="8"/>
  <c r="B297" i="8"/>
  <c r="C297" i="8" l="1"/>
  <c r="E297" i="8" s="1"/>
  <c r="D298" i="8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B306" i="8"/>
  <c r="D306" i="8"/>
  <c r="A307" i="8"/>
  <c r="C306" i="8" l="1"/>
  <c r="E306" i="8" s="1"/>
  <c r="D307" i="8" s="1"/>
  <c r="B307" i="8"/>
  <c r="A308" i="8"/>
  <c r="C307" i="8" l="1"/>
  <c r="E307" i="8" s="1"/>
  <c r="B308" i="8"/>
  <c r="D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<sst xmlns="http://schemas.openxmlformats.org/spreadsheetml/2006/main" count="316" uniqueCount="137">
  <si>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</si>
  <si>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</si>
  <si>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</si>
  <si>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</si>
  <si>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</si>
  <si>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</si>
  <si>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</si>
  <si>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</si>
  <si>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</si>
  <si>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</si>
  <si>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</si>
  <si>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</si>
  <si>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</si>
  <si>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</si>
  <si>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</si>
  <si>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</si>
  <si>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</si>
  <si>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</si>
  <si>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</si>
  <si>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</si>
  <si>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</si>
  <si>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</si>
  <si>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</si>
  <si>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</si>
  <si>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</si>
  <si>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</si>
  <si>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</si>
  <si>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</si>
  <si>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</si>
  <si>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</si>
  <si>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</si>
  <si>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</si>
  <si>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</si>
  <si>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</si>
  <si>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</si>
  <si>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</si>
  <si>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</si>
  <si>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</si>
  <si>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</si>
  <si>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</si>
  <si>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</si>
  <si>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</si>
  <si>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</si>
  <si>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</si>
  <si>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</si>
  <si>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</si>
  <si>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</si>
  <si>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</si>
  <si>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</si>
  <si>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</si>
  <si>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</si>
  <si>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</si>
  <si>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</si>
  <si>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</si>
  <si>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</si>
  <si>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</si>
  <si>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</si>
  <si>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</si>
  <si>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</si>
  <si>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</si>
  <si>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</si>
  <si>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</si>
  <si>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</si>
  <si>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</si>
  <si>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</si>
  <si>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</si>
  <si>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</si>
  <si>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</si>
  <si>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</si>
  <si>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</si>
  <si>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</si>
  <si>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</si>
  <si>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</si>
  <si>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</si>
  <si>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</si>
  <si>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</si>
  <si>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</si>
  <si>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</si>
  <si>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</si>
  <si>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</si>
  <si>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</si>
  <si>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</si>
  <si>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</si>
  <si>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</si>
  <si>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</si>
  <si>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</si>
  <si>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</si>
  <si>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</si>
  <si>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</si>
  <si>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</si>
  <si>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</si>
  <si>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</si>
  <si>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</si>
  <si>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</si>
  <si>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</si>
  <si>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</si>
  <si>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</si>
  <si>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</si>
  <si>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</si>
  <si>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</si>
  <si>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</si>
  <si>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</si>
  <si>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</si>
  <si>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</si>
  <si>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</si>
  <si>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</si>
  <si>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</si>
  <si>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</si>
  <si>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</si>
  <si>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</si>
  <si>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</si>
  <si>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</si>
  <si>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</si>
  <si>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</si>
  <si>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</si>
  <si>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Initial Marketing</t>
  </si>
  <si>
    <t>Initial Payroll</t>
  </si>
  <si>
    <t>Facility Costs</t>
  </si>
  <si>
    <t>Marketing</t>
  </si>
  <si>
    <t>Equipment Costs</t>
  </si>
  <si>
    <t>Position 6</t>
  </si>
  <si>
    <t>Position 10</t>
  </si>
  <si>
    <t>Fixed Assets</t>
  </si>
  <si>
    <t>Yearly Growth Rate</t>
  </si>
  <si>
    <t>Administrative Staff</t>
  </si>
  <si>
    <t>Owner</t>
  </si>
  <si>
    <t>Other Income</t>
  </si>
  <si>
    <t>Operations Manager</t>
  </si>
  <si>
    <t>Sales of Microgreens</t>
  </si>
  <si>
    <t>Farm Staff</t>
  </si>
  <si>
    <t>Distribution Staff</t>
  </si>
  <si>
    <t>Land and Equipment</t>
  </si>
  <si>
    <t>6021 Media Holdings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</si>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</sst>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0" fontId="0" fillId="3" borderId="3" xfId="0" applyFill="1" applyBorder="1" applyAlignment="1">
      <alignment horizontal="center"/>
    </xf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0" fontId="11" fillId="0" borderId="0" xfId="2"/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137816.24171981425</c:v>
                </c:pt>
                <c:pt idx="1">
                  <c:v>257304.15447661065</c:v>
                </c:pt>
                <c:pt idx="2">
                  <c:v>362460.22037114296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21136.66299323575</c:v>
                </c:pt>
                <c:pt idx="1">
                  <c:v>22890.995597230882</c:v>
                </c:pt>
                <c:pt idx="2">
                  <c:v>24790.936942133947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96471.369203869966</c:v>
                </c:pt>
                <c:pt idx="1">
                  <c:v>180112.90813362744</c:v>
                </c:pt>
                <c:pt idx="2">
                  <c:v>253722.15425980007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137816.24171981425</c:v>
                </c:pt>
                <c:pt idx="1">
                  <c:v>257304.15447661065</c:v>
                </c:pt>
                <c:pt idx="2">
                  <c:v>362460.22037114296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272-450B-A5F7-DD3356FF4D13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272-450B-A5F7-DD3356FF4D1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96471.369203869966</c:v>
                </c:pt>
                <c:pt idx="1">
                  <c:v>180112.90813362744</c:v>
                </c:pt>
                <c:pt idx="2">
                  <c:v>253722.15425980007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1237766.9095227085</c:v>
                </c:pt>
                <c:pt idx="1">
                  <c:v>981422.03700676432</c:v>
                </c:pt>
                <c:pt idx="2">
                  <c:v>256344.87251594418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1259677.0342684609</c:v>
                </c:pt>
                <c:pt idx="1">
                  <c:v>961140.91540953342</c:v>
                </c:pt>
                <c:pt idx="2">
                  <c:v>298536.11885892751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1311286.2349176698</c:v>
                </c:pt>
                <c:pt idx="1">
                  <c:v>939012.04994739953</c:v>
                </c:pt>
                <c:pt idx="2">
                  <c:v>372274.18497027026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7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1237766.9095227085</c:v>
                </c:pt>
                <c:pt idx="1">
                  <c:v>1259677.0342684609</c:v>
                </c:pt>
                <c:pt idx="2">
                  <c:v>1311286.2349176698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C-4BB4-A7F7-14CBC60D4821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7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981422.03700676432</c:v>
                </c:pt>
                <c:pt idx="1">
                  <c:v>961140.91540953342</c:v>
                </c:pt>
                <c:pt idx="2">
                  <c:v>939012.04994739953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C-4BB4-A7F7-14CBC60D4821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67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256344.87251594418</c:v>
                </c:pt>
                <c:pt idx="1">
                  <c:v>298536.11885892751</c:v>
                </c:pt>
                <c:pt idx="2">
                  <c:v>372274.18497027026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4C-4BB4-A7F7-14CBC60D4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3952"/>
        <c:axId val="616717680"/>
      </c:barChart>
      <c:catAx>
        <c:axId val="263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717680"/>
        <c:crosses val="autoZero"/>
        <c:auto val="1"/>
        <c:lblAlgn val="ctr"/>
        <c:lblOffset val="100"/>
        <c:noMultiLvlLbl val="0"/>
      </c:catAx>
      <c:valAx>
        <c:axId val="61671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1079882.8714459459</c:v>
                </c:pt>
                <c:pt idx="1">
                  <c:v>1130244.0986067569</c:v>
                </c:pt>
                <c:pt idx="2">
                  <c:v>1180855.2537018242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1079882.8714459459</c:v>
                </c:pt>
                <c:pt idx="1">
                  <c:v>1130244.0986067569</c:v>
                </c:pt>
                <c:pt idx="2">
                  <c:v>1180855.2537018242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1450386</c:v>
                </c:pt>
                <c:pt idx="1">
                  <c:v>1740463.2</c:v>
                </c:pt>
                <c:pt idx="2">
                  <c:v>2001532.68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761060.30939999991</c:v>
                </c:pt>
                <c:pt idx="1">
                  <c:v>796552.98378000001</c:v>
                </c:pt>
                <c:pt idx="2">
                  <c:v>832221.79784700007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261116.49060000014</c:v>
                </c:pt>
                <c:pt idx="1">
                  <c:v>430059.17621999991</c:v>
                </c:pt>
                <c:pt idx="2">
                  <c:v>578382.1861530001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1450386</c:v>
                </c:pt>
                <c:pt idx="1">
                  <c:v>1740463.2</c:v>
                </c:pt>
                <c:pt idx="2">
                  <c:v>2001532.68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5782396132522263E-2"/>
                  <c:y val="-1.169155579690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7.6200960316853597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261116.49060000014</c:v>
                </c:pt>
                <c:pt idx="1">
                  <c:v>430059.17621999991</c:v>
                </c:pt>
                <c:pt idx="2">
                  <c:v>578382.1861530001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761060.30939999991</c:v>
                </c:pt>
                <c:pt idx="1">
                  <c:v>796552.98378000001</c:v>
                </c:pt>
                <c:pt idx="2">
                  <c:v>832221.79784700007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Sales of Microgreens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7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1237766.9095227085</c:v>
                </c:pt>
                <c:pt idx="1">
                  <c:v>1259677.0342684609</c:v>
                </c:pt>
                <c:pt idx="2">
                  <c:v>1311286.2349176698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0F-4298-BE22-AA1F2639E010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67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981422.03700676432</c:v>
                </c:pt>
                <c:pt idx="1">
                  <c:v>961140.91540953342</c:v>
                </c:pt>
                <c:pt idx="2">
                  <c:v>939012.04994739953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0F-4298-BE22-AA1F2639E010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67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256344.87251594418</c:v>
                </c:pt>
                <c:pt idx="1">
                  <c:v>298536.11885892751</c:v>
                </c:pt>
                <c:pt idx="2">
                  <c:v>372274.18497027026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0F-4298-BE22-AA1F2639E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6353952"/>
        <c:axId val="616717680"/>
      </c:barChart>
      <c:catAx>
        <c:axId val="26353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6717680"/>
        <c:crosses val="autoZero"/>
        <c:auto val="1"/>
        <c:lblAlgn val="ctr"/>
        <c:lblOffset val="100"/>
        <c:noMultiLvlLbl val="0"/>
      </c:catAx>
      <c:valAx>
        <c:axId val="61671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353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7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F5F-4993-A39C-045272080378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BC-466C-B2AB-9A67625D1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'Personnel - Editable'!$L$31:$L$35</c:f>
              <c:strCache>
                <c:ptCount val="5"/>
                <c:pt idx="0">
                  <c:v>Owner</c:v>
                </c:pt>
                <c:pt idx="1">
                  <c:v>Operations Manager</c:v>
                </c:pt>
                <c:pt idx="2">
                  <c:v>Farm Staff</c:v>
                </c:pt>
                <c:pt idx="3">
                  <c:v>Distribution Staff</c:v>
                </c:pt>
                <c:pt idx="4">
                  <c:v>Administrative Staff</c:v>
                </c:pt>
              </c:strCache>
            </c:strRef>
          </c:cat>
          <c:val>
            <c:numRef>
              <c:f>'Personnel - Editable'!$M$31:$M$35</c:f>
              <c:numCache>
                <c:formatCode>0.0%</c:formatCode>
                <c:ptCount val="5"/>
                <c:pt idx="0">
                  <c:v>0.12987012987012986</c:v>
                </c:pt>
                <c:pt idx="1">
                  <c:v>8.6580086580086577E-2</c:v>
                </c:pt>
                <c:pt idx="2">
                  <c:v>0.30303030303030304</c:v>
                </c:pt>
                <c:pt idx="3">
                  <c:v>0.32467532467532467</c:v>
                </c:pt>
                <c:pt idx="4">
                  <c:v>0.15584415584415584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Sales of Microgreens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0.95238095238095233</c:v>
                </c:pt>
                <c:pt idx="1">
                  <c:v>4.7619047619047616E-2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3558147003776414E-2"/>
          <c:y val="0.1578209207139363"/>
          <c:w val="0.74289511279444498"/>
          <c:h val="0.7544925820194272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BBC-4384-A7BB-AA7EF38B8691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4">
                      <a:lumMod val="40000"/>
                      <a:lumOff val="60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2AE-4A73-80E9-0E005A5D853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rgbClr val="7030A0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2AE-4A73-80E9-0E005A5D853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2AE-4A73-80E9-0E005A5D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'Use of Funds'!$D$6:$D$9</c:f>
              <c:strCache>
                <c:ptCount val="4"/>
                <c:pt idx="0">
                  <c:v>Land and Equipment</c:v>
                </c:pt>
                <c:pt idx="1">
                  <c:v>Initial Payroll</c:v>
                </c:pt>
                <c:pt idx="2">
                  <c:v>Initial Marketing</c:v>
                </c:pt>
                <c:pt idx="3">
                  <c:v>Working Capital</c:v>
                </c:pt>
              </c:strCache>
            </c:strRef>
          </c:cat>
          <c:val>
            <c:numRef>
              <c:f>'Use of Funds'!$E$6:$E$9</c:f>
              <c:numCache>
                <c:formatCode>"$"#,##0</c:formatCode>
                <c:ptCount val="4"/>
                <c:pt idx="0">
                  <c:v>1120000</c:v>
                </c:pt>
                <c:pt idx="1">
                  <c:v>25000</c:v>
                </c:pt>
                <c:pt idx="2">
                  <c:v>5000</c:v>
                </c:pt>
                <c:pt idx="3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AE-4A73-80E9-0E005A5D8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1450386</c:v>
                </c:pt>
                <c:pt idx="1">
                  <c:v>1740463.2</c:v>
                </c:pt>
                <c:pt idx="2">
                  <c:v>2001532.68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761060.30939999991</c:v>
                </c:pt>
                <c:pt idx="1">
                  <c:v>796552.98378000001</c:v>
                </c:pt>
                <c:pt idx="2">
                  <c:v>832221.79784700007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261116.49060000014</c:v>
                </c:pt>
                <c:pt idx="1">
                  <c:v>430059.17621999991</c:v>
                </c:pt>
                <c:pt idx="2">
                  <c:v>578382.1861530001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1450386</c:v>
                </c:pt>
                <c:pt idx="1">
                  <c:v>1740463.2</c:v>
                </c:pt>
                <c:pt idx="2">
                  <c:v>2001532.68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2.2296544035674062E-3"/>
                  <c:y val="-4.322863437510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-7.1135979797397123E-3"/>
                  <c:y val="6.214116191421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261116.49060000014</c:v>
                </c:pt>
                <c:pt idx="1">
                  <c:v>430059.17621999991</c:v>
                </c:pt>
                <c:pt idx="2">
                  <c:v>578382.1861530001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3.7825055078215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761060.30939999991</c:v>
                </c:pt>
                <c:pt idx="1">
                  <c:v>796552.98378000001</c:v>
                </c:pt>
                <c:pt idx="2">
                  <c:v>832221.79784700007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137816.24171981425</c:v>
                </c:pt>
                <c:pt idx="1">
                  <c:v>257304.15447661065</c:v>
                </c:pt>
                <c:pt idx="2">
                  <c:v>362460.22037114296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21136.66299323575</c:v>
                </c:pt>
                <c:pt idx="1">
                  <c:v>22890.995597230882</c:v>
                </c:pt>
                <c:pt idx="2">
                  <c:v>24790.936942133947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95-40CC-8B5D-E844E5AA74E4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96471.369203869966</c:v>
                </c:pt>
                <c:pt idx="1">
                  <c:v>180112.90813362744</c:v>
                </c:pt>
                <c:pt idx="2">
                  <c:v>253722.15425980007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137816.24171981425</c:v>
                </c:pt>
                <c:pt idx="1">
                  <c:v>257304.15447661065</c:v>
                </c:pt>
                <c:pt idx="2">
                  <c:v>362460.22037114296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B257-4005-9DCC-DE1FF1B42919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B257-4005-9DCC-DE1FF1B42919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96471.369203869966</c:v>
                </c:pt>
                <c:pt idx="1">
                  <c:v>180112.90813362744</c:v>
                </c:pt>
                <c:pt idx="2">
                  <c:v>253722.15425980007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485775</xdr:colOff>
      <xdr:row>2</xdr:row>
      <xdr:rowOff>76199</xdr:rowOff>
    </xdr:from>
    <xdr:to>
      <xdr:col>21</xdr:col>
      <xdr:colOff>228599</xdr:colOff>
      <xdr:row>13</xdr:row>
      <xdr:rowOff>57148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AF62E4-D52C-4FDF-8FA9-04E2B637D6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542925</xdr:colOff>
      <xdr:row>28</xdr:row>
      <xdr:rowOff>28575</xdr:rowOff>
    </xdr:from>
    <xdr:to>
      <xdr:col>20</xdr:col>
      <xdr:colOff>323850</xdr:colOff>
      <xdr:row>39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069DDB-60F7-4294-A974-917CED3CC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6450" y="53625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190500</xdr:colOff>
      <xdr:row>1</xdr:row>
      <xdr:rowOff>114300</xdr:rowOff>
    </xdr:from>
    <xdr:to>
      <xdr:col>21</xdr:col>
      <xdr:colOff>581025</xdr:colOff>
      <xdr:row>12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30145-6A7A-47BD-8CDC-BC1938666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73225" y="3048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276225</xdr:colOff>
      <xdr:row>1</xdr:row>
      <xdr:rowOff>161925</xdr:rowOff>
    </xdr:from>
    <xdr:to>
      <xdr:col>26</xdr:col>
      <xdr:colOff>57150</xdr:colOff>
      <xdr:row>12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9D20DB-24F4-4EF9-ACD1-BE55A7D12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3524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295275</xdr:colOff>
      <xdr:row>2</xdr:row>
      <xdr:rowOff>0</xdr:rowOff>
    </xdr:from>
    <xdr:to>
      <xdr:col>25</xdr:col>
      <xdr:colOff>76200</xdr:colOff>
      <xdr:row>13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0C94B-4304-47DA-B9C2-1F9809CD8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35100" y="3810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85725</xdr:colOff>
      <xdr:row>2</xdr:row>
      <xdr:rowOff>9525</xdr:rowOff>
    </xdr:from>
    <xdr:to>
      <xdr:col>25</xdr:col>
      <xdr:colOff>476250</xdr:colOff>
      <xdr:row>13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CA3E43-594B-4AAF-B8F3-A918EB3CD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6075" y="3905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3</xdr:row>
      <xdr:rowOff>66675</xdr:rowOff>
    </xdr:from>
    <xdr:to>
      <xdr:col>5</xdr:col>
      <xdr:colOff>847725</xdr:colOff>
      <xdr:row>14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1B4497-24E7-4C68-B5E8-679A94385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975" y="6381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85725</xdr:colOff>
      <xdr:row>17</xdr:row>
      <xdr:rowOff>0</xdr:rowOff>
    </xdr:from>
    <xdr:to>
      <xdr:col>12</xdr:col>
      <xdr:colOff>381000</xdr:colOff>
      <xdr:row>28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EC41A3-06A5-4D87-8F15-FD1B79F0D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32385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371475</xdr:colOff>
      <xdr:row>2</xdr:row>
      <xdr:rowOff>47625</xdr:rowOff>
    </xdr:from>
    <xdr:to>
      <xdr:col>20</xdr:col>
      <xdr:colOff>257175</xdr:colOff>
      <xdr:row>27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22</xdr:col>
      <xdr:colOff>0</xdr:colOff>
      <xdr:row>0</xdr:row>
      <xdr:rowOff>133350</xdr:rowOff>
    </xdr:from>
    <xdr:to>
      <xdr:col>26</xdr:col>
      <xdr:colOff>390525</xdr:colOff>
      <xdr:row>11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F8B7CBE-D0EF-46A4-B3C5-81CE77437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92475" y="1333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409574</xdr:colOff>
      <xdr:row>5</xdr:row>
      <xdr:rowOff>90487</xdr:rowOff>
    </xdr:from>
    <xdr:to>
      <xdr:col>18</xdr:col>
      <xdr:colOff>466724</xdr:colOff>
      <xdr:row>30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9525</xdr:colOff>
      <xdr:row>1</xdr:row>
      <xdr:rowOff>133350</xdr:rowOff>
    </xdr:from>
    <xdr:to>
      <xdr:col>23</xdr:col>
      <xdr:colOff>400050</xdr:colOff>
      <xdr:row>12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8A287C-8D8C-4D0E-8A09-B1D320B65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92300" y="32385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123825</xdr:colOff>
      <xdr:row>1</xdr:row>
      <xdr:rowOff>104775</xdr:rowOff>
    </xdr:from>
    <xdr:to>
      <xdr:col>24</xdr:col>
      <xdr:colOff>514350</xdr:colOff>
      <xdr:row>12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0EF089-A5A0-4203-B699-3EF2D4ED2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0375" y="2952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600075</xdr:colOff>
      <xdr:row>4</xdr:row>
      <xdr:rowOff>71437</xdr:rowOff>
    </xdr:from>
    <xdr:to>
      <xdr:col>14</xdr:col>
      <xdr:colOff>428625</xdr:colOff>
      <xdr:row>18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FED60B9-57E5-AEFF-499B-D1A906584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428625</xdr:colOff>
      <xdr:row>1</xdr:row>
      <xdr:rowOff>114300</xdr:rowOff>
    </xdr:from>
    <xdr:to>
      <xdr:col>24</xdr:col>
      <xdr:colOff>209550</xdr:colOff>
      <xdr:row>12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BFBD4-A199-4132-BAF4-64BD49377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63725" y="30480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542925</xdr:colOff>
      <xdr:row>1</xdr:row>
      <xdr:rowOff>66675</xdr:rowOff>
    </xdr:from>
    <xdr:to>
      <xdr:col>23</xdr:col>
      <xdr:colOff>323850</xdr:colOff>
      <xdr:row>12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2C3E7A-263B-4780-AAF4-1CAD9752A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54150" y="25717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590550</xdr:colOff>
      <xdr:row>0</xdr:row>
      <xdr:rowOff>0</xdr:rowOff>
    </xdr:from>
    <xdr:to>
      <xdr:col>24</xdr:col>
      <xdr:colOff>371475</xdr:colOff>
      <xdr:row>11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9C66F-0813-4384-8E3C-A6534DB6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97025" y="0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U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5"/>
      <c r="C3" s="145"/>
      <c r="D3" s="145"/>
      <c r="E3" s="145"/>
    </row>
    <row r="4" spans="2:5">
      <c r="B4" s="146" t="s">
        <v>111</v>
      </c>
      <c r="C4" s="146" t="s">
        <v>57</v>
      </c>
      <c r="D4" s="146" t="s">
        <v>10</v>
      </c>
      <c r="E4" s="146" t="s">
        <v>8</v>
      </c>
    </row>
    <row r="5" spans="2:5">
      <c r="B5" s="66" t="s">
        <v>128</v>
      </c>
      <c r="C5" s="147">
        <v>0.3</v>
      </c>
      <c r="D5" s="147">
        <v>0.7</v>
      </c>
      <c r="E5" s="147">
        <f>C5+D5</f>
        <v>1</v>
      </c>
    </row>
    <row r="6" spans="2:5">
      <c r="B6" s="66" t="s">
        <v>126</v>
      </c>
      <c r="C6" s="147">
        <v>0.2</v>
      </c>
      <c r="D6" s="147">
        <v>0.8</v>
      </c>
      <c r="E6" s="147">
        <f t="shared" ref="E6:E12" si="0">C6+D6</f>
        <v>1</v>
      </c>
    </row>
    <row r="7" spans="2:5">
      <c r="B7" s="66" t="s">
        <v>103</v>
      </c>
      <c r="C7" s="147">
        <v>0.05</v>
      </c>
      <c r="D7" s="147">
        <v>0.95</v>
      </c>
      <c r="E7" s="147">
        <f t="shared" si="0"/>
        <v>1</v>
      </c>
    </row>
    <row r="8" spans="2:5">
      <c r="B8" s="66" t="s">
        <v>104</v>
      </c>
      <c r="C8" s="147">
        <v>0.05</v>
      </c>
      <c r="D8" s="147">
        <v>0.95</v>
      </c>
      <c r="E8" s="147">
        <f t="shared" si="0"/>
        <v>1</v>
      </c>
    </row>
    <row r="9" spans="2:5">
      <c r="B9" s="66" t="s">
        <v>105</v>
      </c>
      <c r="C9" s="147">
        <v>0.05</v>
      </c>
      <c r="D9" s="147">
        <v>0.95</v>
      </c>
      <c r="E9" s="147">
        <f t="shared" si="0"/>
        <v>1</v>
      </c>
    </row>
    <row r="10" spans="2:5">
      <c r="B10" s="66" t="s">
        <v>106</v>
      </c>
      <c r="C10" s="147">
        <v>0.05</v>
      </c>
      <c r="D10" s="147">
        <v>0.95</v>
      </c>
      <c r="E10" s="147">
        <f t="shared" si="0"/>
        <v>1</v>
      </c>
    </row>
    <row r="11" spans="2:5">
      <c r="B11" s="66" t="s">
        <v>107</v>
      </c>
      <c r="C11" s="147">
        <v>0.05</v>
      </c>
      <c r="D11" s="147">
        <v>0.95</v>
      </c>
      <c r="E11" s="147">
        <f t="shared" si="0"/>
        <v>1</v>
      </c>
    </row>
    <row r="12" spans="2:5">
      <c r="B12" s="66" t="s">
        <v>108</v>
      </c>
      <c r="C12" s="147">
        <v>0.05</v>
      </c>
      <c r="D12" s="147">
        <v>0.95</v>
      </c>
      <c r="E12" s="147">
        <f t="shared" si="0"/>
        <v>1</v>
      </c>
    </row>
    <row r="13" spans="2:5">
      <c r="B13" s="66" t="s">
        <v>109</v>
      </c>
      <c r="C13" s="147">
        <v>0.05</v>
      </c>
      <c r="D13" s="147">
        <v>0.95</v>
      </c>
      <c r="E13" s="147">
        <f t="shared" ref="E13:E14" si="1">C13+D13</f>
        <v>1</v>
      </c>
    </row>
    <row r="14" spans="2:5">
      <c r="B14" s="66" t="s">
        <v>110</v>
      </c>
      <c r="C14" s="147">
        <v>0.05</v>
      </c>
      <c r="D14" s="147">
        <v>0.95</v>
      </c>
      <c r="E14" s="147">
        <f t="shared" si="1"/>
        <v>1</v>
      </c>
    </row>
    <row r="16" spans="2:5">
      <c r="B16" s="145"/>
      <c r="C16" s="145"/>
      <c r="D16" s="145"/>
      <c r="E16" s="145"/>
    </row>
    <row r="17" spans="2:21">
      <c r="B17" s="146" t="s">
        <v>112</v>
      </c>
      <c r="C17" s="146">
        <v>1</v>
      </c>
      <c r="D17" s="146">
        <v>2</v>
      </c>
      <c r="E17" s="146">
        <v>3</v>
      </c>
    </row>
    <row r="18" spans="2:21">
      <c r="B18" s="70" t="s">
        <v>117</v>
      </c>
      <c r="C18" s="94">
        <v>36000</v>
      </c>
      <c r="D18" s="94">
        <f>C18*1.03</f>
        <v>37080</v>
      </c>
      <c r="E18" s="94">
        <f>D18*1.03</f>
        <v>38192.400000000001</v>
      </c>
    </row>
    <row r="19" spans="2:21">
      <c r="B19" s="70" t="s">
        <v>50</v>
      </c>
      <c r="C19" s="94">
        <f>'Profit and Loss Statement'!E6*0.0157</f>
        <v>22771.0602</v>
      </c>
      <c r="D19" s="94">
        <f>'Profit and Loss Statement'!F6*0.0157</f>
        <v>27325.272239999998</v>
      </c>
      <c r="E19" s="94">
        <f>'Profit and Loss Statement'!G6*0.0157</f>
        <v>31424.063075999995</v>
      </c>
    </row>
    <row r="20" spans="2:21">
      <c r="B20" s="70" t="s">
        <v>119</v>
      </c>
      <c r="C20" s="94">
        <f>'Profit and Loss Statement'!E6*0.0152</f>
        <v>22045.867200000001</v>
      </c>
      <c r="D20" s="94">
        <f>'Profit and Loss Statement'!F6*0.0152</f>
        <v>26455.040639999999</v>
      </c>
      <c r="E20" s="94">
        <f>'Profit and Loss Statement'!G6*0.0152</f>
        <v>30423.296736</v>
      </c>
    </row>
    <row r="21" spans="2:21">
      <c r="B21" s="70" t="s">
        <v>49</v>
      </c>
      <c r="C21" s="94">
        <f>'Personnel - Editable'!H16*0.06</f>
        <v>34650</v>
      </c>
      <c r="D21" s="94">
        <f>'Personnel - Editable'!I16*0.06</f>
        <v>35689.5</v>
      </c>
      <c r="E21" s="94">
        <f>'Personnel - Editable'!J16*0.06</f>
        <v>36760.184999999998</v>
      </c>
      <c r="F21" s="120"/>
      <c r="G21" s="120"/>
    </row>
    <row r="22" spans="2:21">
      <c r="B22" s="70" t="s">
        <v>118</v>
      </c>
      <c r="C22" s="94">
        <f>'Profit and Loss Statement'!E6*0.012</f>
        <v>17404.632000000001</v>
      </c>
      <c r="D22" s="94">
        <f>'Profit and Loss Statement'!F6*0.012</f>
        <v>20885.558399999998</v>
      </c>
      <c r="E22" s="94">
        <f>'Profit and Loss Statement'!G6*0.012</f>
        <v>24018.392159999999</v>
      </c>
      <c r="F22" s="1"/>
      <c r="G22" s="1"/>
    </row>
    <row r="23" spans="2:21">
      <c r="B23" s="70" t="s">
        <v>1</v>
      </c>
      <c r="C23" s="94">
        <v>6510</v>
      </c>
      <c r="D23" s="94">
        <f>C23*1.35</f>
        <v>8788.5</v>
      </c>
      <c r="E23" s="94">
        <f>D23*1.35</f>
        <v>11864.475</v>
      </c>
      <c r="F23" s="1"/>
      <c r="G23" s="1"/>
    </row>
    <row r="24" spans="2:21">
      <c r="F24" s="1"/>
      <c r="G24" s="1"/>
    </row>
    <row r="25" spans="2:21">
      <c r="F25" s="1"/>
      <c r="G25" s="1"/>
    </row>
    <row r="30" spans="2:21">
      <c r="B30" s="148" t="s">
        <v>113</v>
      </c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2:21">
      <c r="B31" s="150" t="s">
        <v>5</v>
      </c>
      <c r="C31" s="151">
        <v>1</v>
      </c>
      <c r="D31" s="151">
        <f>C31+1</f>
        <v>2</v>
      </c>
      <c r="E31" s="151">
        <f t="shared" ref="E31:N31" si="2">D31+1</f>
        <v>3</v>
      </c>
      <c r="F31" s="151">
        <f t="shared" si="2"/>
        <v>4</v>
      </c>
      <c r="G31" s="151">
        <f t="shared" si="2"/>
        <v>5</v>
      </c>
      <c r="H31" s="151">
        <f t="shared" si="2"/>
        <v>6</v>
      </c>
      <c r="I31" s="151">
        <f t="shared" si="2"/>
        <v>7</v>
      </c>
      <c r="J31" s="151">
        <f t="shared" si="2"/>
        <v>8</v>
      </c>
      <c r="K31" s="151">
        <f t="shared" si="2"/>
        <v>9</v>
      </c>
      <c r="L31" s="151">
        <f t="shared" si="2"/>
        <v>10</v>
      </c>
      <c r="M31" s="151">
        <f t="shared" si="2"/>
        <v>11</v>
      </c>
      <c r="N31" s="151">
        <f t="shared" si="2"/>
        <v>12</v>
      </c>
    </row>
    <row r="32" spans="2:21">
      <c r="B32" s="66" t="str">
        <f t="shared" ref="B32:B41" si="3">B5</f>
        <v>Sales of Microgreens</v>
      </c>
      <c r="C32" s="94">
        <v>115000</v>
      </c>
      <c r="D32" s="94">
        <f>C32+20</f>
        <v>115020</v>
      </c>
      <c r="E32" s="94">
        <f t="shared" ref="E32:N32" si="4">D32+20</f>
        <v>115040</v>
      </c>
      <c r="F32" s="94">
        <f t="shared" si="4"/>
        <v>115060</v>
      </c>
      <c r="G32" s="94">
        <f t="shared" si="4"/>
        <v>115080</v>
      </c>
      <c r="H32" s="94">
        <f t="shared" si="4"/>
        <v>115100</v>
      </c>
      <c r="I32" s="94">
        <f t="shared" si="4"/>
        <v>115120</v>
      </c>
      <c r="J32" s="94">
        <f t="shared" si="4"/>
        <v>115140</v>
      </c>
      <c r="K32" s="94">
        <f t="shared" si="4"/>
        <v>115160</v>
      </c>
      <c r="L32" s="94">
        <f t="shared" si="4"/>
        <v>115180</v>
      </c>
      <c r="M32" s="94">
        <f t="shared" si="4"/>
        <v>115200</v>
      </c>
      <c r="N32" s="94">
        <f t="shared" si="4"/>
        <v>115220</v>
      </c>
      <c r="R32" s="112"/>
      <c r="S32" s="112"/>
      <c r="T32" s="112"/>
      <c r="U32" s="112"/>
    </row>
    <row r="33" spans="2:21">
      <c r="B33" s="66" t="str">
        <f t="shared" si="3"/>
        <v>Other Income</v>
      </c>
      <c r="C33" s="94">
        <f>C32*0.05</f>
        <v>5750</v>
      </c>
      <c r="D33" s="94">
        <f t="shared" ref="D33:N33" si="5">D32*0.05</f>
        <v>5751</v>
      </c>
      <c r="E33" s="94">
        <f t="shared" si="5"/>
        <v>5752</v>
      </c>
      <c r="F33" s="94">
        <f t="shared" si="5"/>
        <v>5753</v>
      </c>
      <c r="G33" s="94">
        <f t="shared" si="5"/>
        <v>5754</v>
      </c>
      <c r="H33" s="94">
        <f t="shared" si="5"/>
        <v>5755</v>
      </c>
      <c r="I33" s="94">
        <f t="shared" si="5"/>
        <v>5756</v>
      </c>
      <c r="J33" s="94">
        <f t="shared" si="5"/>
        <v>5757</v>
      </c>
      <c r="K33" s="94">
        <f t="shared" si="5"/>
        <v>5758</v>
      </c>
      <c r="L33" s="94">
        <f t="shared" si="5"/>
        <v>5759</v>
      </c>
      <c r="M33" s="94">
        <f t="shared" si="5"/>
        <v>5760</v>
      </c>
      <c r="N33" s="94">
        <f t="shared" si="5"/>
        <v>5761</v>
      </c>
      <c r="R33" s="112"/>
      <c r="S33" s="112"/>
      <c r="T33" s="112"/>
      <c r="U33" s="112"/>
    </row>
    <row r="34" spans="2:21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R34" s="112"/>
      <c r="S34" s="112"/>
      <c r="T34" s="112"/>
      <c r="U34" s="112"/>
    </row>
    <row r="35" spans="2:21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R35" s="112" t="s">
        <v>132</v>
      </c>
      <c r="S35" s="112"/>
      <c r="T35" s="112"/>
      <c r="U35" s="112"/>
    </row>
    <row r="36" spans="2:21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R36" s="112"/>
      <c r="S36" s="112"/>
      <c r="T36" s="112"/>
      <c r="U36" s="112"/>
    </row>
    <row r="37" spans="2:21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R37" s="112"/>
      <c r="S37" s="112"/>
      <c r="T37" s="112"/>
      <c r="U37" s="112"/>
    </row>
    <row r="38" spans="2:21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R38" s="112"/>
      <c r="S38" s="112"/>
      <c r="T38" s="112"/>
      <c r="U38" s="112"/>
    </row>
    <row r="39" spans="2:21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R39" s="112"/>
      <c r="S39" s="112"/>
      <c r="T39" s="112"/>
      <c r="U39" s="112"/>
    </row>
    <row r="40" spans="2:21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21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Q41" s="154" t="s">
        <v>136</v>
      </c>
    </row>
    <row r="42" spans="2:21">
      <c r="B42" s="152" t="s">
        <v>8</v>
      </c>
      <c r="C42" s="153">
        <f>SUM(C32:C41)</f>
        <v>120750</v>
      </c>
      <c r="D42" s="153">
        <f t="shared" ref="D42:N42" si="6">SUM(D32:D41)</f>
        <v>120771</v>
      </c>
      <c r="E42" s="153">
        <f t="shared" si="6"/>
        <v>120792</v>
      </c>
      <c r="F42" s="153">
        <f t="shared" si="6"/>
        <v>120813</v>
      </c>
      <c r="G42" s="153">
        <f t="shared" si="6"/>
        <v>120834</v>
      </c>
      <c r="H42" s="153">
        <f t="shared" si="6"/>
        <v>120855</v>
      </c>
      <c r="I42" s="153">
        <f t="shared" si="6"/>
        <v>120876</v>
      </c>
      <c r="J42" s="153">
        <f t="shared" si="6"/>
        <v>120897</v>
      </c>
      <c r="K42" s="153">
        <f t="shared" si="6"/>
        <v>120918</v>
      </c>
      <c r="L42" s="153">
        <f t="shared" si="6"/>
        <v>120939</v>
      </c>
      <c r="M42" s="153">
        <f t="shared" si="6"/>
        <v>120960</v>
      </c>
      <c r="N42" s="153">
        <f t="shared" si="6"/>
        <v>120981</v>
      </c>
    </row>
    <row r="44" spans="2:21">
      <c r="B44" s="145"/>
      <c r="C44" s="145"/>
    </row>
    <row r="45" spans="2:21">
      <c r="B45" s="146" t="s">
        <v>123</v>
      </c>
      <c r="C45" s="146"/>
    </row>
    <row r="46" spans="2:21">
      <c r="B46" s="66" t="s">
        <v>3</v>
      </c>
      <c r="C46" s="144">
        <v>0.2</v>
      </c>
    </row>
    <row r="47" spans="2:21">
      <c r="B47" s="66" t="s">
        <v>4</v>
      </c>
      <c r="C47" s="144">
        <v>0.15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Sales of Microgreens</v>
      </c>
      <c r="C51" s="114">
        <f t="shared" ref="C51:N51" si="9">C32*($C$5/$E$5)</f>
        <v>34500</v>
      </c>
      <c r="D51" s="114">
        <f t="shared" si="9"/>
        <v>34506</v>
      </c>
      <c r="E51" s="114">
        <f t="shared" si="9"/>
        <v>34512</v>
      </c>
      <c r="F51" s="114">
        <f t="shared" si="9"/>
        <v>34518</v>
      </c>
      <c r="G51" s="114">
        <f t="shared" si="9"/>
        <v>34524</v>
      </c>
      <c r="H51" s="114">
        <f t="shared" si="9"/>
        <v>34530</v>
      </c>
      <c r="I51" s="114">
        <f t="shared" si="9"/>
        <v>34536</v>
      </c>
      <c r="J51" s="114">
        <f t="shared" si="9"/>
        <v>34542</v>
      </c>
      <c r="K51" s="114">
        <f t="shared" si="9"/>
        <v>34548</v>
      </c>
      <c r="L51" s="114">
        <f t="shared" si="9"/>
        <v>34554</v>
      </c>
      <c r="M51" s="114">
        <f t="shared" si="9"/>
        <v>34560</v>
      </c>
      <c r="N51" s="114">
        <f t="shared" si="9"/>
        <v>34566</v>
      </c>
    </row>
    <row r="52" spans="2:14">
      <c r="B52" s="112" t="str">
        <f t="shared" si="8"/>
        <v>Other Income</v>
      </c>
      <c r="C52" s="114">
        <f t="shared" ref="C52:N52" si="10">C33*($C$6/$E$6)</f>
        <v>1150</v>
      </c>
      <c r="D52" s="114">
        <f t="shared" si="10"/>
        <v>1150.2</v>
      </c>
      <c r="E52" s="114">
        <f t="shared" si="10"/>
        <v>1150.4000000000001</v>
      </c>
      <c r="F52" s="114">
        <f t="shared" si="10"/>
        <v>1150.6000000000001</v>
      </c>
      <c r="G52" s="114">
        <f t="shared" si="10"/>
        <v>1150.8</v>
      </c>
      <c r="H52" s="114">
        <f t="shared" si="10"/>
        <v>1151</v>
      </c>
      <c r="I52" s="114">
        <f t="shared" si="10"/>
        <v>1151.2</v>
      </c>
      <c r="J52" s="114">
        <f t="shared" si="10"/>
        <v>1151.4000000000001</v>
      </c>
      <c r="K52" s="114">
        <f t="shared" si="10"/>
        <v>1151.6000000000001</v>
      </c>
      <c r="L52" s="114">
        <f t="shared" si="10"/>
        <v>1151.8</v>
      </c>
      <c r="M52" s="114">
        <f t="shared" si="10"/>
        <v>1152</v>
      </c>
      <c r="N52" s="114">
        <f t="shared" si="10"/>
        <v>1152.2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35650</v>
      </c>
      <c r="D61" s="114">
        <f t="shared" ref="D61:N61" si="19">SUM(D51:D60)</f>
        <v>35656.199999999997</v>
      </c>
      <c r="E61" s="114">
        <f t="shared" si="19"/>
        <v>35662.400000000001</v>
      </c>
      <c r="F61" s="114">
        <f t="shared" si="19"/>
        <v>35668.6</v>
      </c>
      <c r="G61" s="114">
        <f t="shared" si="19"/>
        <v>35674.800000000003</v>
      </c>
      <c r="H61" s="114">
        <f t="shared" si="19"/>
        <v>35681</v>
      </c>
      <c r="I61" s="114">
        <f t="shared" si="19"/>
        <v>35687.199999999997</v>
      </c>
      <c r="J61" s="114">
        <f t="shared" si="19"/>
        <v>35693.4</v>
      </c>
      <c r="K61" s="114">
        <f t="shared" si="19"/>
        <v>35699.599999999999</v>
      </c>
      <c r="L61" s="114">
        <f t="shared" si="19"/>
        <v>35705.800000000003</v>
      </c>
      <c r="M61" s="114">
        <f t="shared" si="19"/>
        <v>35712</v>
      </c>
      <c r="N61" s="114">
        <f t="shared" si="19"/>
        <v>35718.199999999997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85100</v>
      </c>
      <c r="D66" s="114">
        <f t="shared" si="21"/>
        <v>85114.8</v>
      </c>
      <c r="E66" s="114">
        <f t="shared" si="21"/>
        <v>85129.600000000006</v>
      </c>
      <c r="F66" s="114">
        <f t="shared" si="21"/>
        <v>85144.4</v>
      </c>
      <c r="G66" s="114">
        <f t="shared" si="21"/>
        <v>85159.2</v>
      </c>
      <c r="H66" s="114">
        <f t="shared" si="21"/>
        <v>85174</v>
      </c>
      <c r="I66" s="114">
        <f t="shared" si="21"/>
        <v>85188.800000000003</v>
      </c>
      <c r="J66" s="114">
        <f t="shared" si="21"/>
        <v>85203.6</v>
      </c>
      <c r="K66" s="114">
        <f t="shared" si="21"/>
        <v>85218.4</v>
      </c>
      <c r="L66" s="114">
        <f t="shared" si="21"/>
        <v>85233.2</v>
      </c>
      <c r="M66" s="114">
        <f t="shared" si="21"/>
        <v>85248</v>
      </c>
      <c r="N66" s="114">
        <f t="shared" si="21"/>
        <v>85262.8</v>
      </c>
    </row>
  </sheetData>
  <sheetProtection algorithmName="SHA-512" hashValue="RrsANgczFH+LiMy81glsGazyTHx/WqoAIoept0Zo99avw1kEbozQCPcMmi+8O68miFZcEOeKrTrSukX7Kec0Yg==" saltValue="+XCh0QZrOMBtNHsEYUGBBw==" spinCount="100000" sheet="1" objects="1" scenarios="1" selectLockedCells="1"/>
  <hyperlinks>
    <hyperlink ref="Q41" r:id="rId1" xr:uid="{F2838278-419C-42AA-AFC4-D4A09B7F28FB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S6" sqref="S6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1000000</v>
      </c>
      <c r="C5" s="55"/>
      <c r="D5" s="56" t="s">
        <v>36</v>
      </c>
      <c r="E5" s="59">
        <f>PMT(B6/B8,(B7*B8),-B5)</f>
        <v>8364.4006899346277</v>
      </c>
    </row>
    <row r="6" spans="1:5">
      <c r="A6" s="60" t="s">
        <v>39</v>
      </c>
      <c r="B6" s="54">
        <v>0.08</v>
      </c>
      <c r="C6" s="55"/>
      <c r="D6" s="56" t="s">
        <v>38</v>
      </c>
      <c r="E6" s="59">
        <f>SUM(D14:D600)</f>
        <v>1007456.1655843122</v>
      </c>
    </row>
    <row r="7" spans="1:5">
      <c r="A7" s="60" t="s">
        <v>40</v>
      </c>
      <c r="B7" s="60">
        <v>20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8364.4006899346277</v>
      </c>
      <c r="C14" s="1">
        <f>B14-D14</f>
        <v>1697.7340232679608</v>
      </c>
      <c r="D14" s="1">
        <f>(B5*($B$6/$B$8))</f>
        <v>6666.666666666667</v>
      </c>
      <c r="E14" s="1">
        <f>B5-C14</f>
        <v>998302.26597673201</v>
      </c>
    </row>
    <row r="15" spans="1:5">
      <c r="A15">
        <f>IF(($B$7*$B$8&gt;A14),IF(($B$7*$B$8)=A14,"",A14+1),"")</f>
        <v>2</v>
      </c>
      <c r="B15" s="1">
        <f>IF(A15="","",$B$14)</f>
        <v>8364.4006899346277</v>
      </c>
      <c r="C15" s="1">
        <f>IF(A15="","",B15-D15)</f>
        <v>1709.0522500897468</v>
      </c>
      <c r="D15" s="1">
        <f>IF(A15="","",(E14*($B$6/$B$8)))</f>
        <v>6655.3484398448809</v>
      </c>
      <c r="E15" s="1">
        <f>IF(A15="","",E14-C15)</f>
        <v>996593.21372664231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8364.4006899346277</v>
      </c>
      <c r="C16" s="1">
        <f t="shared" ref="C16:C79" si="2">IF(A16="","",B16-D16)</f>
        <v>1720.4459317570117</v>
      </c>
      <c r="D16" s="1">
        <f t="shared" ref="D16:D79" si="3">IF(A16="","",(E15*($B$6/$B$8)))</f>
        <v>6643.954758177616</v>
      </c>
      <c r="E16" s="1">
        <f t="shared" ref="E16:E79" si="4">IF(A16="","",E15-C16)</f>
        <v>994872.76779488532</v>
      </c>
    </row>
    <row r="17" spans="1:5">
      <c r="A17">
        <f t="shared" si="0"/>
        <v>4</v>
      </c>
      <c r="B17" s="1">
        <f t="shared" si="1"/>
        <v>8364.4006899346277</v>
      </c>
      <c r="C17" s="1">
        <f t="shared" si="2"/>
        <v>1731.9155713020582</v>
      </c>
      <c r="D17" s="1">
        <f t="shared" si="3"/>
        <v>6632.4851186325695</v>
      </c>
      <c r="E17" s="1">
        <f t="shared" si="4"/>
        <v>993140.85222358326</v>
      </c>
    </row>
    <row r="18" spans="1:5">
      <c r="A18">
        <f t="shared" si="0"/>
        <v>5</v>
      </c>
      <c r="B18" s="1">
        <f t="shared" si="1"/>
        <v>8364.4006899346277</v>
      </c>
      <c r="C18" s="1">
        <f t="shared" si="2"/>
        <v>1743.4616751107387</v>
      </c>
      <c r="D18" s="1">
        <f t="shared" si="3"/>
        <v>6620.939014823889</v>
      </c>
      <c r="E18" s="1">
        <f t="shared" si="4"/>
        <v>991397.39054847253</v>
      </c>
    </row>
    <row r="19" spans="1:5">
      <c r="A19">
        <f t="shared" si="0"/>
        <v>6</v>
      </c>
      <c r="B19" s="1">
        <f t="shared" si="1"/>
        <v>8364.4006899346277</v>
      </c>
      <c r="C19" s="1">
        <f t="shared" si="2"/>
        <v>1755.0847529448101</v>
      </c>
      <c r="D19" s="1">
        <f t="shared" si="3"/>
        <v>6609.3159369898176</v>
      </c>
      <c r="E19" s="1">
        <f t="shared" si="4"/>
        <v>989642.30579552776</v>
      </c>
    </row>
    <row r="20" spans="1:5">
      <c r="A20">
        <f t="shared" si="0"/>
        <v>7</v>
      </c>
      <c r="B20" s="1">
        <f t="shared" si="1"/>
        <v>8364.4006899346277</v>
      </c>
      <c r="C20" s="1">
        <f t="shared" si="2"/>
        <v>1766.7853179644426</v>
      </c>
      <c r="D20" s="1">
        <f t="shared" si="3"/>
        <v>6597.6153719701852</v>
      </c>
      <c r="E20" s="1">
        <f t="shared" si="4"/>
        <v>987875.52047756338</v>
      </c>
    </row>
    <row r="21" spans="1:5">
      <c r="A21">
        <f t="shared" si="0"/>
        <v>8</v>
      </c>
      <c r="B21" s="1">
        <f t="shared" si="1"/>
        <v>8364.4006899346277</v>
      </c>
      <c r="C21" s="1">
        <f t="shared" si="2"/>
        <v>1778.5638867508715</v>
      </c>
      <c r="D21" s="1">
        <f t="shared" si="3"/>
        <v>6585.8368031837563</v>
      </c>
      <c r="E21" s="1">
        <f t="shared" si="4"/>
        <v>986096.95659081254</v>
      </c>
    </row>
    <row r="22" spans="1:5">
      <c r="A22">
        <f t="shared" si="0"/>
        <v>9</v>
      </c>
      <c r="B22" s="1">
        <f t="shared" si="1"/>
        <v>8364.4006899346277</v>
      </c>
      <c r="C22" s="1">
        <f t="shared" si="2"/>
        <v>1790.4209793292102</v>
      </c>
      <c r="D22" s="1">
        <f t="shared" si="3"/>
        <v>6573.9797106054175</v>
      </c>
      <c r="E22" s="1">
        <f t="shared" si="4"/>
        <v>984306.53561148327</v>
      </c>
    </row>
    <row r="23" spans="1:5">
      <c r="A23">
        <f t="shared" si="0"/>
        <v>10</v>
      </c>
      <c r="B23" s="1">
        <f t="shared" si="1"/>
        <v>8364.4006899346277</v>
      </c>
      <c r="C23" s="1">
        <f t="shared" si="2"/>
        <v>1802.3571191914052</v>
      </c>
      <c r="D23" s="1">
        <f t="shared" si="3"/>
        <v>6562.0435707432225</v>
      </c>
      <c r="E23" s="1">
        <f t="shared" si="4"/>
        <v>982504.17849229183</v>
      </c>
    </row>
    <row r="24" spans="1:5">
      <c r="A24">
        <f t="shared" si="0"/>
        <v>11</v>
      </c>
      <c r="B24" s="1">
        <f t="shared" si="1"/>
        <v>8364.4006899346277</v>
      </c>
      <c r="C24" s="1">
        <f t="shared" si="2"/>
        <v>1814.3728333193485</v>
      </c>
      <c r="D24" s="1">
        <f t="shared" si="3"/>
        <v>6550.0278566152792</v>
      </c>
      <c r="E24" s="1">
        <f t="shared" si="4"/>
        <v>980689.80565897247</v>
      </c>
    </row>
    <row r="25" spans="1:5">
      <c r="A25">
        <f t="shared" si="0"/>
        <v>12</v>
      </c>
      <c r="B25" s="1">
        <f t="shared" si="1"/>
        <v>8364.4006899346277</v>
      </c>
      <c r="C25" s="1">
        <f t="shared" si="2"/>
        <v>1826.4686522081438</v>
      </c>
      <c r="D25" s="1">
        <f t="shared" si="3"/>
        <v>6537.9320377264839</v>
      </c>
      <c r="E25" s="1">
        <f t="shared" si="4"/>
        <v>978863.33700676437</v>
      </c>
    </row>
    <row r="26" spans="1:5">
      <c r="A26">
        <f t="shared" si="0"/>
        <v>13</v>
      </c>
      <c r="B26" s="1">
        <f t="shared" si="1"/>
        <v>8364.4006899346277</v>
      </c>
      <c r="C26" s="1">
        <f t="shared" si="2"/>
        <v>1838.6451098895313</v>
      </c>
      <c r="D26" s="1">
        <f t="shared" si="3"/>
        <v>6525.7555800450964</v>
      </c>
      <c r="E26" s="1">
        <f t="shared" si="4"/>
        <v>977024.69189687481</v>
      </c>
    </row>
    <row r="27" spans="1:5">
      <c r="A27">
        <f t="shared" si="0"/>
        <v>14</v>
      </c>
      <c r="B27" s="1">
        <f t="shared" si="1"/>
        <v>8364.4006899346277</v>
      </c>
      <c r="C27" s="1">
        <f t="shared" si="2"/>
        <v>1850.902743955462</v>
      </c>
      <c r="D27" s="1">
        <f t="shared" si="3"/>
        <v>6513.4979459791657</v>
      </c>
      <c r="E27" s="1">
        <f t="shared" si="4"/>
        <v>975173.78915291931</v>
      </c>
    </row>
    <row r="28" spans="1:5">
      <c r="A28">
        <f t="shared" si="0"/>
        <v>15</v>
      </c>
      <c r="B28" s="1">
        <f t="shared" si="1"/>
        <v>8364.4006899346277</v>
      </c>
      <c r="C28" s="1">
        <f t="shared" si="2"/>
        <v>1863.2420955818316</v>
      </c>
      <c r="D28" s="1">
        <f t="shared" si="3"/>
        <v>6501.1585943527962</v>
      </c>
      <c r="E28" s="1">
        <f t="shared" si="4"/>
        <v>973310.54705733748</v>
      </c>
    </row>
    <row r="29" spans="1:5">
      <c r="A29">
        <f t="shared" si="0"/>
        <v>16</v>
      </c>
      <c r="B29" s="1">
        <f t="shared" si="1"/>
        <v>8364.4006899346277</v>
      </c>
      <c r="C29" s="1">
        <f t="shared" si="2"/>
        <v>1875.6637095523774</v>
      </c>
      <c r="D29" s="1">
        <f t="shared" si="3"/>
        <v>6488.7369803822503</v>
      </c>
      <c r="E29" s="1">
        <f t="shared" si="4"/>
        <v>971434.8833477851</v>
      </c>
    </row>
    <row r="30" spans="1:5">
      <c r="A30">
        <f t="shared" si="0"/>
        <v>17</v>
      </c>
      <c r="B30" s="1">
        <f t="shared" si="1"/>
        <v>8364.4006899346277</v>
      </c>
      <c r="C30" s="1">
        <f t="shared" si="2"/>
        <v>1888.1681342827269</v>
      </c>
      <c r="D30" s="1">
        <f t="shared" si="3"/>
        <v>6476.2325556519008</v>
      </c>
      <c r="E30" s="1">
        <f t="shared" si="4"/>
        <v>969546.71521350241</v>
      </c>
    </row>
    <row r="31" spans="1:5">
      <c r="A31">
        <f t="shared" si="0"/>
        <v>18</v>
      </c>
      <c r="B31" s="1">
        <f t="shared" si="1"/>
        <v>8364.4006899346277</v>
      </c>
      <c r="C31" s="1">
        <f t="shared" si="2"/>
        <v>1900.7559218446113</v>
      </c>
      <c r="D31" s="1">
        <f t="shared" si="3"/>
        <v>6463.6447680900164</v>
      </c>
      <c r="E31" s="1">
        <f t="shared" si="4"/>
        <v>967645.95929165778</v>
      </c>
    </row>
    <row r="32" spans="1:5">
      <c r="A32">
        <f t="shared" si="0"/>
        <v>19</v>
      </c>
      <c r="B32" s="1">
        <f t="shared" si="1"/>
        <v>8364.4006899346277</v>
      </c>
      <c r="C32" s="1">
        <f t="shared" si="2"/>
        <v>1913.4276279902424</v>
      </c>
      <c r="D32" s="1">
        <f t="shared" si="3"/>
        <v>6450.9730619443853</v>
      </c>
      <c r="E32" s="1">
        <f t="shared" si="4"/>
        <v>965732.53166366753</v>
      </c>
    </row>
    <row r="33" spans="1:5">
      <c r="A33">
        <f t="shared" si="0"/>
        <v>20</v>
      </c>
      <c r="B33" s="1">
        <f t="shared" si="1"/>
        <v>8364.4006899346277</v>
      </c>
      <c r="C33" s="1">
        <f t="shared" si="2"/>
        <v>1926.1838121768442</v>
      </c>
      <c r="D33" s="1">
        <f t="shared" si="3"/>
        <v>6438.2168777577835</v>
      </c>
      <c r="E33" s="1">
        <f t="shared" si="4"/>
        <v>963806.34785149072</v>
      </c>
    </row>
    <row r="34" spans="1:5">
      <c r="A34">
        <f t="shared" si="0"/>
        <v>21</v>
      </c>
      <c r="B34" s="1">
        <f t="shared" si="1"/>
        <v>8364.4006899346277</v>
      </c>
      <c r="C34" s="1">
        <f t="shared" si="2"/>
        <v>1939.0250375913556</v>
      </c>
      <c r="D34" s="1">
        <f t="shared" si="3"/>
        <v>6425.3756523432721</v>
      </c>
      <c r="E34" s="1">
        <f t="shared" si="4"/>
        <v>961867.32281389937</v>
      </c>
    </row>
    <row r="35" spans="1:5">
      <c r="A35">
        <f t="shared" si="0"/>
        <v>22</v>
      </c>
      <c r="B35" s="1">
        <f t="shared" si="1"/>
        <v>8364.4006899346277</v>
      </c>
      <c r="C35" s="1">
        <f t="shared" si="2"/>
        <v>1951.951871175298</v>
      </c>
      <c r="D35" s="1">
        <f t="shared" si="3"/>
        <v>6412.4488187593297</v>
      </c>
      <c r="E35" s="1">
        <f t="shared" si="4"/>
        <v>959915.37094272405</v>
      </c>
    </row>
    <row r="36" spans="1:5">
      <c r="A36">
        <f t="shared" si="0"/>
        <v>23</v>
      </c>
      <c r="B36" s="1">
        <f t="shared" si="1"/>
        <v>8364.4006899346277</v>
      </c>
      <c r="C36" s="1">
        <f t="shared" si="2"/>
        <v>1964.9648836498</v>
      </c>
      <c r="D36" s="1">
        <f t="shared" si="3"/>
        <v>6399.4358062848278</v>
      </c>
      <c r="E36" s="1">
        <f t="shared" si="4"/>
        <v>957950.40605907422</v>
      </c>
    </row>
    <row r="37" spans="1:5">
      <c r="A37">
        <f t="shared" si="0"/>
        <v>24</v>
      </c>
      <c r="B37" s="1">
        <f t="shared" si="1"/>
        <v>8364.4006899346277</v>
      </c>
      <c r="C37" s="1">
        <f t="shared" si="2"/>
        <v>1978.0646495407991</v>
      </c>
      <c r="D37" s="1">
        <f t="shared" si="3"/>
        <v>6386.3360403938286</v>
      </c>
      <c r="E37" s="1">
        <f t="shared" si="4"/>
        <v>955972.3414095334</v>
      </c>
    </row>
    <row r="38" spans="1:5">
      <c r="A38">
        <f t="shared" si="0"/>
        <v>25</v>
      </c>
      <c r="B38" s="1">
        <f t="shared" si="1"/>
        <v>8364.4006899346277</v>
      </c>
      <c r="C38" s="1">
        <f t="shared" si="2"/>
        <v>1991.2517472044046</v>
      </c>
      <c r="D38" s="1">
        <f t="shared" si="3"/>
        <v>6373.1489427302231</v>
      </c>
      <c r="E38" s="1">
        <f t="shared" si="4"/>
        <v>953981.08966232894</v>
      </c>
    </row>
    <row r="39" spans="1:5">
      <c r="A39">
        <f t="shared" si="0"/>
        <v>26</v>
      </c>
      <c r="B39" s="1">
        <f t="shared" si="1"/>
        <v>8364.4006899346277</v>
      </c>
      <c r="C39" s="1">
        <f t="shared" si="2"/>
        <v>2004.5267588524348</v>
      </c>
      <c r="D39" s="1">
        <f t="shared" si="3"/>
        <v>6359.8739310821929</v>
      </c>
      <c r="E39" s="1">
        <f t="shared" si="4"/>
        <v>951976.56290347653</v>
      </c>
    </row>
    <row r="40" spans="1:5">
      <c r="A40">
        <f t="shared" si="0"/>
        <v>27</v>
      </c>
      <c r="B40" s="1">
        <f t="shared" si="1"/>
        <v>8364.4006899346277</v>
      </c>
      <c r="C40" s="1">
        <f t="shared" si="2"/>
        <v>2017.8902705781175</v>
      </c>
      <c r="D40" s="1">
        <f t="shared" si="3"/>
        <v>6346.5104193565103</v>
      </c>
      <c r="E40" s="1">
        <f t="shared" si="4"/>
        <v>949958.67263289844</v>
      </c>
    </row>
    <row r="41" spans="1:5">
      <c r="A41">
        <f t="shared" si="0"/>
        <v>28</v>
      </c>
      <c r="B41" s="1">
        <f t="shared" si="1"/>
        <v>8364.4006899346277</v>
      </c>
      <c r="C41" s="1">
        <f t="shared" si="2"/>
        <v>2031.3428723819707</v>
      </c>
      <c r="D41" s="1">
        <f t="shared" si="3"/>
        <v>6333.0578175526571</v>
      </c>
      <c r="E41" s="1">
        <f t="shared" si="4"/>
        <v>947927.32976051641</v>
      </c>
    </row>
    <row r="42" spans="1:5">
      <c r="A42">
        <f t="shared" si="0"/>
        <v>29</v>
      </c>
      <c r="B42" s="1">
        <f t="shared" si="1"/>
        <v>8364.4006899346277</v>
      </c>
      <c r="C42" s="1">
        <f t="shared" si="2"/>
        <v>2044.8851581978515</v>
      </c>
      <c r="D42" s="1">
        <f t="shared" si="3"/>
        <v>6319.5155317367762</v>
      </c>
      <c r="E42" s="1">
        <f t="shared" si="4"/>
        <v>945882.44460231857</v>
      </c>
    </row>
    <row r="43" spans="1:5">
      <c r="A43">
        <f t="shared" si="0"/>
        <v>30</v>
      </c>
      <c r="B43" s="1">
        <f t="shared" si="1"/>
        <v>8364.4006899346277</v>
      </c>
      <c r="C43" s="1">
        <f t="shared" si="2"/>
        <v>2058.5177259191705</v>
      </c>
      <c r="D43" s="1">
        <f t="shared" si="3"/>
        <v>6305.8829640154572</v>
      </c>
      <c r="E43" s="1">
        <f t="shared" si="4"/>
        <v>943823.92687639943</v>
      </c>
    </row>
    <row r="44" spans="1:5">
      <c r="A44">
        <f t="shared" si="0"/>
        <v>31</v>
      </c>
      <c r="B44" s="1">
        <f t="shared" si="1"/>
        <v>8364.4006899346277</v>
      </c>
      <c r="C44" s="1">
        <f t="shared" si="2"/>
        <v>2072.2411774252978</v>
      </c>
      <c r="D44" s="1">
        <f t="shared" si="3"/>
        <v>6292.1595125093299</v>
      </c>
      <c r="E44" s="1">
        <f t="shared" si="4"/>
        <v>941751.68569897418</v>
      </c>
    </row>
    <row r="45" spans="1:5">
      <c r="A45">
        <f t="shared" si="0"/>
        <v>32</v>
      </c>
      <c r="B45" s="1">
        <f t="shared" si="1"/>
        <v>8364.4006899346277</v>
      </c>
      <c r="C45" s="1">
        <f t="shared" si="2"/>
        <v>2086.0561186081331</v>
      </c>
      <c r="D45" s="1">
        <f t="shared" si="3"/>
        <v>6278.3445713264946</v>
      </c>
      <c r="E45" s="1">
        <f t="shared" si="4"/>
        <v>939665.62958036608</v>
      </c>
    </row>
    <row r="46" spans="1:5">
      <c r="A46">
        <f t="shared" si="0"/>
        <v>33</v>
      </c>
      <c r="B46" s="1">
        <f t="shared" si="1"/>
        <v>8364.4006899346277</v>
      </c>
      <c r="C46" s="1">
        <f t="shared" si="2"/>
        <v>2099.9631593988533</v>
      </c>
      <c r="D46" s="1">
        <f t="shared" si="3"/>
        <v>6264.4375305357744</v>
      </c>
      <c r="E46" s="1">
        <f t="shared" si="4"/>
        <v>937565.6664209672</v>
      </c>
    </row>
    <row r="47" spans="1:5">
      <c r="A47">
        <f t="shared" si="0"/>
        <v>34</v>
      </c>
      <c r="B47" s="1">
        <f t="shared" si="1"/>
        <v>8364.4006899346277</v>
      </c>
      <c r="C47" s="1">
        <f t="shared" si="2"/>
        <v>2113.9629137948459</v>
      </c>
      <c r="D47" s="1">
        <f t="shared" si="3"/>
        <v>6250.4377761397818</v>
      </c>
      <c r="E47" s="1">
        <f t="shared" si="4"/>
        <v>935451.70350717241</v>
      </c>
    </row>
    <row r="48" spans="1:5">
      <c r="A48">
        <f t="shared" si="0"/>
        <v>35</v>
      </c>
      <c r="B48" s="1">
        <f t="shared" si="1"/>
        <v>8364.4006899346277</v>
      </c>
      <c r="C48" s="1">
        <f t="shared" si="2"/>
        <v>2128.0559998868112</v>
      </c>
      <c r="D48" s="1">
        <f t="shared" si="3"/>
        <v>6236.3446900478166</v>
      </c>
      <c r="E48" s="1">
        <f t="shared" si="4"/>
        <v>933323.64750728558</v>
      </c>
    </row>
    <row r="49" spans="1:5">
      <c r="A49">
        <f t="shared" si="0"/>
        <v>36</v>
      </c>
      <c r="B49" s="1">
        <f t="shared" si="1"/>
        <v>8364.4006899346277</v>
      </c>
      <c r="C49" s="1">
        <f t="shared" si="2"/>
        <v>2142.243039886057</v>
      </c>
      <c r="D49" s="1">
        <f t="shared" si="3"/>
        <v>6222.1576500485708</v>
      </c>
      <c r="E49" s="1">
        <f t="shared" si="4"/>
        <v>931181.40446739958</v>
      </c>
    </row>
    <row r="50" spans="1:5">
      <c r="A50">
        <f t="shared" si="0"/>
        <v>37</v>
      </c>
      <c r="B50" s="1">
        <f t="shared" si="1"/>
        <v>8364.4006899346277</v>
      </c>
      <c r="C50" s="1">
        <f t="shared" si="2"/>
        <v>2156.5246601519639</v>
      </c>
      <c r="D50" s="1">
        <f t="shared" si="3"/>
        <v>6207.8760297826639</v>
      </c>
      <c r="E50" s="1">
        <f t="shared" si="4"/>
        <v>929024.87980724766</v>
      </c>
    </row>
    <row r="51" spans="1:5">
      <c r="A51">
        <f t="shared" si="0"/>
        <v>38</v>
      </c>
      <c r="B51" s="1">
        <f t="shared" si="1"/>
        <v>8364.4006899346277</v>
      </c>
      <c r="C51" s="1">
        <f t="shared" si="2"/>
        <v>2170.9014912196426</v>
      </c>
      <c r="D51" s="1">
        <f t="shared" si="3"/>
        <v>6193.4991987149851</v>
      </c>
      <c r="E51" s="1">
        <f t="shared" si="4"/>
        <v>926853.97831602802</v>
      </c>
    </row>
    <row r="52" spans="1:5">
      <c r="A52">
        <f t="shared" si="0"/>
        <v>39</v>
      </c>
      <c r="B52" s="1">
        <f t="shared" si="1"/>
        <v>8364.4006899346277</v>
      </c>
      <c r="C52" s="1">
        <f t="shared" si="2"/>
        <v>2185.3741678277738</v>
      </c>
      <c r="D52" s="1">
        <f t="shared" si="3"/>
        <v>6179.0265221068539</v>
      </c>
      <c r="E52" s="1">
        <f t="shared" si="4"/>
        <v>924668.60414820025</v>
      </c>
    </row>
    <row r="53" spans="1:5">
      <c r="A53">
        <f t="shared" si="0"/>
        <v>40</v>
      </c>
      <c r="B53" s="1">
        <f t="shared" si="1"/>
        <v>8364.4006899346277</v>
      </c>
      <c r="C53" s="1">
        <f t="shared" si="2"/>
        <v>2199.943328946626</v>
      </c>
      <c r="D53" s="1">
        <f t="shared" si="3"/>
        <v>6164.4573609880017</v>
      </c>
      <c r="E53" s="1">
        <f t="shared" si="4"/>
        <v>922468.66081925365</v>
      </c>
    </row>
    <row r="54" spans="1:5">
      <c r="A54">
        <f t="shared" si="0"/>
        <v>41</v>
      </c>
      <c r="B54" s="1">
        <f t="shared" si="1"/>
        <v>8364.4006899346277</v>
      </c>
      <c r="C54" s="1">
        <f t="shared" si="2"/>
        <v>2214.6096178062699</v>
      </c>
      <c r="D54" s="1">
        <f t="shared" si="3"/>
        <v>6149.7910721283579</v>
      </c>
      <c r="E54" s="1">
        <f t="shared" si="4"/>
        <v>920254.05120144738</v>
      </c>
    </row>
    <row r="55" spans="1:5">
      <c r="A55">
        <f t="shared" si="0"/>
        <v>42</v>
      </c>
      <c r="B55" s="1">
        <f t="shared" si="1"/>
        <v>8364.4006899346277</v>
      </c>
      <c r="C55" s="1">
        <f t="shared" si="2"/>
        <v>2229.373681924978</v>
      </c>
      <c r="D55" s="1">
        <f t="shared" si="3"/>
        <v>6135.0270080096498</v>
      </c>
      <c r="E55" s="1">
        <f t="shared" si="4"/>
        <v>918024.67751952237</v>
      </c>
    </row>
    <row r="56" spans="1:5">
      <c r="A56">
        <f t="shared" si="0"/>
        <v>43</v>
      </c>
      <c r="B56" s="1">
        <f t="shared" si="1"/>
        <v>8364.4006899346277</v>
      </c>
      <c r="C56" s="1">
        <f t="shared" si="2"/>
        <v>2244.2361731378114</v>
      </c>
      <c r="D56" s="1">
        <f t="shared" si="3"/>
        <v>6120.1645167968163</v>
      </c>
      <c r="E56" s="1">
        <f t="shared" si="4"/>
        <v>915780.44134638458</v>
      </c>
    </row>
    <row r="57" spans="1:5">
      <c r="A57">
        <f t="shared" si="0"/>
        <v>44</v>
      </c>
      <c r="B57" s="1">
        <f t="shared" si="1"/>
        <v>8364.4006899346277</v>
      </c>
      <c r="C57" s="1">
        <f t="shared" si="2"/>
        <v>2259.1977476253969</v>
      </c>
      <c r="D57" s="1">
        <f t="shared" si="3"/>
        <v>6105.2029423092308</v>
      </c>
      <c r="E57" s="1">
        <f t="shared" si="4"/>
        <v>913521.24359875917</v>
      </c>
    </row>
    <row r="58" spans="1:5">
      <c r="A58">
        <f t="shared" si="0"/>
        <v>45</v>
      </c>
      <c r="B58" s="1">
        <f t="shared" si="1"/>
        <v>8364.4006899346277</v>
      </c>
      <c r="C58" s="1">
        <f t="shared" si="2"/>
        <v>2274.2590659428997</v>
      </c>
      <c r="D58" s="1">
        <f t="shared" si="3"/>
        <v>6090.141623991728</v>
      </c>
      <c r="E58" s="1">
        <f t="shared" si="4"/>
        <v>911246.98453281622</v>
      </c>
    </row>
    <row r="59" spans="1:5">
      <c r="A59">
        <f t="shared" si="0"/>
        <v>46</v>
      </c>
      <c r="B59" s="1">
        <f t="shared" si="1"/>
        <v>8364.4006899346277</v>
      </c>
      <c r="C59" s="1">
        <f t="shared" si="2"/>
        <v>2289.4207930491857</v>
      </c>
      <c r="D59" s="1">
        <f t="shared" si="3"/>
        <v>6074.979896885442</v>
      </c>
      <c r="E59" s="1">
        <f t="shared" si="4"/>
        <v>908957.56373976707</v>
      </c>
    </row>
    <row r="60" spans="1:5">
      <c r="A60">
        <f t="shared" si="0"/>
        <v>47</v>
      </c>
      <c r="B60" s="1">
        <f t="shared" si="1"/>
        <v>8364.4006899346277</v>
      </c>
      <c r="C60" s="1">
        <f t="shared" si="2"/>
        <v>2304.6835983361807</v>
      </c>
      <c r="D60" s="1">
        <f t="shared" si="3"/>
        <v>6059.717091598447</v>
      </c>
      <c r="E60" s="1">
        <f t="shared" si="4"/>
        <v>906652.88014143088</v>
      </c>
    </row>
    <row r="61" spans="1:5">
      <c r="A61">
        <f t="shared" si="0"/>
        <v>48</v>
      </c>
      <c r="B61" s="1">
        <f t="shared" si="1"/>
        <v>8364.4006899346277</v>
      </c>
      <c r="C61" s="1">
        <f t="shared" si="2"/>
        <v>2320.0481556584218</v>
      </c>
      <c r="D61" s="1">
        <f t="shared" si="3"/>
        <v>6044.3525342762059</v>
      </c>
      <c r="E61" s="1">
        <f t="shared" si="4"/>
        <v>904332.83198577247</v>
      </c>
    </row>
    <row r="62" spans="1:5">
      <c r="A62">
        <f t="shared" si="0"/>
        <v>49</v>
      </c>
      <c r="B62" s="1">
        <f t="shared" si="1"/>
        <v>8364.4006899346277</v>
      </c>
      <c r="C62" s="1">
        <f t="shared" si="2"/>
        <v>2335.5151433628107</v>
      </c>
      <c r="D62" s="1">
        <f t="shared" si="3"/>
        <v>6028.885546571817</v>
      </c>
      <c r="E62" s="1">
        <f t="shared" si="4"/>
        <v>901997.31684240967</v>
      </c>
    </row>
    <row r="63" spans="1:5">
      <c r="A63">
        <f t="shared" si="0"/>
        <v>50</v>
      </c>
      <c r="B63" s="1">
        <f t="shared" si="1"/>
        <v>8364.4006899346277</v>
      </c>
      <c r="C63" s="1">
        <f t="shared" si="2"/>
        <v>2351.0852443185631</v>
      </c>
      <c r="D63" s="1">
        <f t="shared" si="3"/>
        <v>6013.3154456160646</v>
      </c>
      <c r="E63" s="1">
        <f t="shared" si="4"/>
        <v>899646.23159809108</v>
      </c>
    </row>
    <row r="64" spans="1:5">
      <c r="A64">
        <f t="shared" si="0"/>
        <v>51</v>
      </c>
      <c r="B64" s="1">
        <f t="shared" si="1"/>
        <v>8364.4006899346277</v>
      </c>
      <c r="C64" s="1">
        <f t="shared" si="2"/>
        <v>2366.7591459473533</v>
      </c>
      <c r="D64" s="1">
        <f t="shared" si="3"/>
        <v>5997.6415439872744</v>
      </c>
      <c r="E64" s="1">
        <f t="shared" si="4"/>
        <v>897279.47245214367</v>
      </c>
    </row>
    <row r="65" spans="1:5">
      <c r="A65">
        <f t="shared" si="0"/>
        <v>52</v>
      </c>
      <c r="B65" s="1">
        <f t="shared" si="1"/>
        <v>8364.4006899346277</v>
      </c>
      <c r="C65" s="1">
        <f t="shared" si="2"/>
        <v>2382.5375402536692</v>
      </c>
      <c r="D65" s="1">
        <f t="shared" si="3"/>
        <v>5981.8631496809585</v>
      </c>
      <c r="E65" s="1">
        <f t="shared" si="4"/>
        <v>894896.93491188996</v>
      </c>
    </row>
    <row r="66" spans="1:5">
      <c r="A66">
        <f t="shared" si="0"/>
        <v>53</v>
      </c>
      <c r="B66" s="1">
        <f t="shared" si="1"/>
        <v>8364.4006899346277</v>
      </c>
      <c r="C66" s="1">
        <f t="shared" si="2"/>
        <v>2398.4211238553607</v>
      </c>
      <c r="D66" s="1">
        <f t="shared" si="3"/>
        <v>5965.979566079267</v>
      </c>
      <c r="E66" s="1">
        <f t="shared" si="4"/>
        <v>892498.51378803456</v>
      </c>
    </row>
    <row r="67" spans="1:5">
      <c r="A67">
        <f t="shared" si="0"/>
        <v>54</v>
      </c>
      <c r="B67" s="1">
        <f t="shared" si="1"/>
        <v>8364.4006899346277</v>
      </c>
      <c r="C67" s="1">
        <f t="shared" si="2"/>
        <v>2414.4105980143968</v>
      </c>
      <c r="D67" s="1">
        <f t="shared" si="3"/>
        <v>5949.990091920231</v>
      </c>
      <c r="E67" s="1">
        <f t="shared" si="4"/>
        <v>890084.10319002019</v>
      </c>
    </row>
    <row r="68" spans="1:5">
      <c r="A68">
        <f t="shared" si="0"/>
        <v>55</v>
      </c>
      <c r="B68" s="1">
        <f t="shared" si="1"/>
        <v>8364.4006899346277</v>
      </c>
      <c r="C68" s="1">
        <f t="shared" si="2"/>
        <v>2430.5066686678265</v>
      </c>
      <c r="D68" s="1">
        <f t="shared" si="3"/>
        <v>5933.8940212668012</v>
      </c>
      <c r="E68" s="1">
        <f t="shared" si="4"/>
        <v>887653.59652135242</v>
      </c>
    </row>
    <row r="69" spans="1:5">
      <c r="A69">
        <f t="shared" si="0"/>
        <v>56</v>
      </c>
      <c r="B69" s="1">
        <f t="shared" si="1"/>
        <v>8364.4006899346277</v>
      </c>
      <c r="C69" s="1">
        <f t="shared" si="2"/>
        <v>2446.7100464589448</v>
      </c>
      <c r="D69" s="1">
        <f t="shared" si="3"/>
        <v>5917.6906434756829</v>
      </c>
      <c r="E69" s="1">
        <f t="shared" si="4"/>
        <v>885206.88647489343</v>
      </c>
    </row>
    <row r="70" spans="1:5">
      <c r="A70">
        <f t="shared" si="0"/>
        <v>57</v>
      </c>
      <c r="B70" s="1">
        <f t="shared" si="1"/>
        <v>8364.4006899346277</v>
      </c>
      <c r="C70" s="1">
        <f t="shared" si="2"/>
        <v>2463.021446768671</v>
      </c>
      <c r="D70" s="1">
        <f t="shared" si="3"/>
        <v>5901.3792431659567</v>
      </c>
      <c r="E70" s="1">
        <f t="shared" si="4"/>
        <v>882743.86502812477</v>
      </c>
    </row>
    <row r="71" spans="1:5">
      <c r="A71">
        <f t="shared" si="0"/>
        <v>58</v>
      </c>
      <c r="B71" s="1">
        <f t="shared" si="1"/>
        <v>8364.4006899346277</v>
      </c>
      <c r="C71" s="1">
        <f t="shared" si="2"/>
        <v>2479.441589747129</v>
      </c>
      <c r="D71" s="1">
        <f t="shared" si="3"/>
        <v>5884.9591001874987</v>
      </c>
      <c r="E71" s="1">
        <f t="shared" si="4"/>
        <v>880264.42343837768</v>
      </c>
    </row>
    <row r="72" spans="1:5">
      <c r="A72">
        <f t="shared" si="0"/>
        <v>59</v>
      </c>
      <c r="B72" s="1">
        <f t="shared" si="1"/>
        <v>8364.4006899346277</v>
      </c>
      <c r="C72" s="1">
        <f t="shared" si="2"/>
        <v>2495.9712003454424</v>
      </c>
      <c r="D72" s="1">
        <f t="shared" si="3"/>
        <v>5868.4294895891853</v>
      </c>
      <c r="E72" s="1">
        <f t="shared" si="4"/>
        <v>877768.45223803225</v>
      </c>
    </row>
    <row r="73" spans="1:5">
      <c r="A73">
        <f t="shared" si="0"/>
        <v>60</v>
      </c>
      <c r="B73" s="1">
        <f t="shared" si="1"/>
        <v>8364.4006899346277</v>
      </c>
      <c r="C73" s="1">
        <f t="shared" si="2"/>
        <v>2512.6110083477461</v>
      </c>
      <c r="D73" s="1">
        <f t="shared" si="3"/>
        <v>5851.7896815868817</v>
      </c>
      <c r="E73" s="1">
        <f t="shared" si="4"/>
        <v>875255.84122968453</v>
      </c>
    </row>
    <row r="74" spans="1:5">
      <c r="A74">
        <f t="shared" si="0"/>
        <v>61</v>
      </c>
      <c r="B74" s="1">
        <f t="shared" si="1"/>
        <v>8364.4006899346277</v>
      </c>
      <c r="C74" s="1">
        <f t="shared" si="2"/>
        <v>2529.3617484033975</v>
      </c>
      <c r="D74" s="1">
        <f t="shared" si="3"/>
        <v>5835.0389415312302</v>
      </c>
      <c r="E74" s="1">
        <f t="shared" si="4"/>
        <v>872726.47948128113</v>
      </c>
    </row>
    <row r="75" spans="1:5">
      <c r="A75">
        <f t="shared" si="0"/>
        <v>62</v>
      </c>
      <c r="B75" s="1">
        <f t="shared" si="1"/>
        <v>8364.4006899346277</v>
      </c>
      <c r="C75" s="1">
        <f t="shared" si="2"/>
        <v>2546.2241600594198</v>
      </c>
      <c r="D75" s="1">
        <f t="shared" si="3"/>
        <v>5818.176529875208</v>
      </c>
      <c r="E75" s="1">
        <f t="shared" si="4"/>
        <v>870180.25532122166</v>
      </c>
    </row>
    <row r="76" spans="1:5">
      <c r="A76">
        <f t="shared" si="0"/>
        <v>63</v>
      </c>
      <c r="B76" s="1">
        <f t="shared" si="1"/>
        <v>8364.4006899346277</v>
      </c>
      <c r="C76" s="1">
        <f t="shared" si="2"/>
        <v>2563.1989877931501</v>
      </c>
      <c r="D76" s="1">
        <f t="shared" si="3"/>
        <v>5801.2017021414777</v>
      </c>
      <c r="E76" s="1">
        <f t="shared" si="4"/>
        <v>867617.05633342848</v>
      </c>
    </row>
    <row r="77" spans="1:5">
      <c r="A77">
        <f t="shared" si="0"/>
        <v>64</v>
      </c>
      <c r="B77" s="1">
        <f t="shared" si="1"/>
        <v>8364.4006899346277</v>
      </c>
      <c r="C77" s="1">
        <f t="shared" si="2"/>
        <v>2580.2869810451039</v>
      </c>
      <c r="D77" s="1">
        <f t="shared" si="3"/>
        <v>5784.1137088895239</v>
      </c>
      <c r="E77" s="1">
        <f t="shared" si="4"/>
        <v>865036.76935238333</v>
      </c>
    </row>
    <row r="78" spans="1:5">
      <c r="A78">
        <f t="shared" si="0"/>
        <v>65</v>
      </c>
      <c r="B78" s="1">
        <f t="shared" si="1"/>
        <v>8364.4006899346277</v>
      </c>
      <c r="C78" s="1">
        <f t="shared" si="2"/>
        <v>2597.488894252072</v>
      </c>
      <c r="D78" s="1">
        <f t="shared" si="3"/>
        <v>5766.9117956825557</v>
      </c>
      <c r="E78" s="1">
        <f t="shared" si="4"/>
        <v>862439.28045813122</v>
      </c>
    </row>
    <row r="79" spans="1:5">
      <c r="A79">
        <f t="shared" si="0"/>
        <v>66</v>
      </c>
      <c r="B79" s="1">
        <f t="shared" si="1"/>
        <v>8364.4006899346277</v>
      </c>
      <c r="C79" s="1">
        <f t="shared" si="2"/>
        <v>2614.8054868804193</v>
      </c>
      <c r="D79" s="1">
        <f t="shared" si="3"/>
        <v>5749.5952030542085</v>
      </c>
      <c r="E79" s="1">
        <f t="shared" si="4"/>
        <v>859824.47497125075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8364.4006899346277</v>
      </c>
      <c r="C80" s="1">
        <f t="shared" ref="C80:C143" si="7">IF(A80="","",B80-D80)</f>
        <v>2632.237523459622</v>
      </c>
      <c r="D80" s="1">
        <f t="shared" ref="D80:D143" si="8">IF(A80="","",(E79*($B$6/$B$8)))</f>
        <v>5732.1631664750057</v>
      </c>
      <c r="E80" s="1">
        <f t="shared" ref="E80:E143" si="9">IF(A80="","",E79-C80)</f>
        <v>857192.23744779115</v>
      </c>
    </row>
    <row r="81" spans="1:5">
      <c r="A81">
        <f t="shared" si="5"/>
        <v>68</v>
      </c>
      <c r="B81" s="1">
        <f t="shared" si="6"/>
        <v>8364.4006899346277</v>
      </c>
      <c r="C81" s="1">
        <f t="shared" si="7"/>
        <v>2649.7857736160195</v>
      </c>
      <c r="D81" s="1">
        <f t="shared" si="8"/>
        <v>5714.6149163186083</v>
      </c>
      <c r="E81" s="1">
        <f t="shared" si="9"/>
        <v>854542.4516741751</v>
      </c>
    </row>
    <row r="82" spans="1:5">
      <c r="A82">
        <f t="shared" si="5"/>
        <v>69</v>
      </c>
      <c r="B82" s="1">
        <f t="shared" si="6"/>
        <v>8364.4006899346277</v>
      </c>
      <c r="C82" s="1">
        <f t="shared" si="7"/>
        <v>2667.4510121067933</v>
      </c>
      <c r="D82" s="1">
        <f t="shared" si="8"/>
        <v>5696.9496778278344</v>
      </c>
      <c r="E82" s="1">
        <f t="shared" si="9"/>
        <v>851875.00066206825</v>
      </c>
    </row>
    <row r="83" spans="1:5">
      <c r="A83">
        <f t="shared" si="5"/>
        <v>70</v>
      </c>
      <c r="B83" s="1">
        <f t="shared" si="6"/>
        <v>8364.4006899346277</v>
      </c>
      <c r="C83" s="1">
        <f t="shared" si="7"/>
        <v>2685.2340188541721</v>
      </c>
      <c r="D83" s="1">
        <f t="shared" si="8"/>
        <v>5679.1666710804557</v>
      </c>
      <c r="E83" s="1">
        <f t="shared" si="9"/>
        <v>849189.76664321404</v>
      </c>
    </row>
    <row r="84" spans="1:5">
      <c r="A84">
        <f t="shared" si="5"/>
        <v>71</v>
      </c>
      <c r="B84" s="1">
        <f t="shared" si="6"/>
        <v>8364.4006899346277</v>
      </c>
      <c r="C84" s="1">
        <f t="shared" si="7"/>
        <v>2703.1355789798672</v>
      </c>
      <c r="D84" s="1">
        <f t="shared" si="8"/>
        <v>5661.2651109547605</v>
      </c>
      <c r="E84" s="1">
        <f t="shared" si="9"/>
        <v>846486.63106423419</v>
      </c>
    </row>
    <row r="85" spans="1:5">
      <c r="A85">
        <f t="shared" si="5"/>
        <v>72</v>
      </c>
      <c r="B85" s="1">
        <f t="shared" si="6"/>
        <v>8364.4006899346277</v>
      </c>
      <c r="C85" s="1">
        <f t="shared" si="7"/>
        <v>2721.1564828397331</v>
      </c>
      <c r="D85" s="1">
        <f t="shared" si="8"/>
        <v>5643.2442070948946</v>
      </c>
      <c r="E85" s="1">
        <f t="shared" si="9"/>
        <v>843765.47458139446</v>
      </c>
    </row>
    <row r="86" spans="1:5">
      <c r="A86">
        <f t="shared" si="5"/>
        <v>73</v>
      </c>
      <c r="B86" s="1">
        <f t="shared" si="6"/>
        <v>8364.4006899346277</v>
      </c>
      <c r="C86" s="1">
        <f t="shared" si="7"/>
        <v>2739.2975260586645</v>
      </c>
      <c r="D86" s="1">
        <f t="shared" si="8"/>
        <v>5625.1031638759632</v>
      </c>
      <c r="E86" s="1">
        <f t="shared" si="9"/>
        <v>841026.17705533584</v>
      </c>
    </row>
    <row r="87" spans="1:5">
      <c r="A87">
        <f t="shared" si="5"/>
        <v>74</v>
      </c>
      <c r="B87" s="1">
        <f t="shared" si="6"/>
        <v>8364.4006899346277</v>
      </c>
      <c r="C87" s="1">
        <f t="shared" si="7"/>
        <v>2757.5595095657218</v>
      </c>
      <c r="D87" s="1">
        <f t="shared" si="8"/>
        <v>5606.841180368906</v>
      </c>
      <c r="E87" s="1">
        <f t="shared" si="9"/>
        <v>838268.61754577013</v>
      </c>
    </row>
    <row r="88" spans="1:5">
      <c r="A88">
        <f t="shared" si="5"/>
        <v>75</v>
      </c>
      <c r="B88" s="1">
        <f t="shared" si="6"/>
        <v>8364.4006899346277</v>
      </c>
      <c r="C88" s="1">
        <f t="shared" si="7"/>
        <v>2775.9432396294933</v>
      </c>
      <c r="D88" s="1">
        <f t="shared" si="8"/>
        <v>5588.4574503051344</v>
      </c>
      <c r="E88" s="1">
        <f t="shared" si="9"/>
        <v>835492.67430614063</v>
      </c>
    </row>
    <row r="89" spans="1:5">
      <c r="A89">
        <f t="shared" si="5"/>
        <v>76</v>
      </c>
      <c r="B89" s="1">
        <f t="shared" si="6"/>
        <v>8364.4006899346277</v>
      </c>
      <c r="C89" s="1">
        <f t="shared" si="7"/>
        <v>2794.4495278936902</v>
      </c>
      <c r="D89" s="1">
        <f t="shared" si="8"/>
        <v>5569.9511620409376</v>
      </c>
      <c r="E89" s="1">
        <f t="shared" si="9"/>
        <v>832698.22477824695</v>
      </c>
    </row>
    <row r="90" spans="1:5">
      <c r="A90">
        <f t="shared" si="5"/>
        <v>77</v>
      </c>
      <c r="B90" s="1">
        <f t="shared" si="6"/>
        <v>8364.4006899346277</v>
      </c>
      <c r="C90" s="1">
        <f t="shared" si="7"/>
        <v>2813.0791914129813</v>
      </c>
      <c r="D90" s="1">
        <f t="shared" si="8"/>
        <v>5551.3214985216464</v>
      </c>
      <c r="E90" s="1">
        <f t="shared" si="9"/>
        <v>829885.14558683394</v>
      </c>
    </row>
    <row r="91" spans="1:5">
      <c r="A91">
        <f t="shared" si="5"/>
        <v>78</v>
      </c>
      <c r="B91" s="1">
        <f t="shared" si="6"/>
        <v>8364.4006899346277</v>
      </c>
      <c r="C91" s="1">
        <f t="shared" si="7"/>
        <v>2831.8330526890677</v>
      </c>
      <c r="D91" s="1">
        <f t="shared" si="8"/>
        <v>5532.56763724556</v>
      </c>
      <c r="E91" s="1">
        <f t="shared" si="9"/>
        <v>827053.31253414485</v>
      </c>
    </row>
    <row r="92" spans="1:5">
      <c r="A92">
        <f t="shared" si="5"/>
        <v>79</v>
      </c>
      <c r="B92" s="1">
        <f t="shared" si="6"/>
        <v>8364.4006899346277</v>
      </c>
      <c r="C92" s="1">
        <f t="shared" si="7"/>
        <v>2850.7119397069955</v>
      </c>
      <c r="D92" s="1">
        <f t="shared" si="8"/>
        <v>5513.6887502276322</v>
      </c>
      <c r="E92" s="1">
        <f t="shared" si="9"/>
        <v>824202.6005944378</v>
      </c>
    </row>
    <row r="93" spans="1:5">
      <c r="A93">
        <f t="shared" si="5"/>
        <v>80</v>
      </c>
      <c r="B93" s="1">
        <f t="shared" si="6"/>
        <v>8364.4006899346277</v>
      </c>
      <c r="C93" s="1">
        <f t="shared" si="7"/>
        <v>2869.716685971709</v>
      </c>
      <c r="D93" s="1">
        <f t="shared" si="8"/>
        <v>5494.6840039629187</v>
      </c>
      <c r="E93" s="1">
        <f t="shared" si="9"/>
        <v>821332.88390846609</v>
      </c>
    </row>
    <row r="94" spans="1:5">
      <c r="A94">
        <f t="shared" si="5"/>
        <v>81</v>
      </c>
      <c r="B94" s="1">
        <f t="shared" si="6"/>
        <v>8364.4006899346277</v>
      </c>
      <c r="C94" s="1">
        <f t="shared" si="7"/>
        <v>2888.8481305448531</v>
      </c>
      <c r="D94" s="1">
        <f t="shared" si="8"/>
        <v>5475.5525593897746</v>
      </c>
      <c r="E94" s="1">
        <f t="shared" si="9"/>
        <v>818444.03577792121</v>
      </c>
    </row>
    <row r="95" spans="1:5">
      <c r="A95">
        <f t="shared" si="5"/>
        <v>82</v>
      </c>
      <c r="B95" s="1">
        <f t="shared" si="6"/>
        <v>8364.4006899346277</v>
      </c>
      <c r="C95" s="1">
        <f t="shared" si="7"/>
        <v>2908.107118081819</v>
      </c>
      <c r="D95" s="1">
        <f t="shared" si="8"/>
        <v>5456.2935718528088</v>
      </c>
      <c r="E95" s="1">
        <f t="shared" si="9"/>
        <v>815535.92865983944</v>
      </c>
    </row>
    <row r="96" spans="1:5">
      <c r="A96">
        <f t="shared" si="5"/>
        <v>83</v>
      </c>
      <c r="B96" s="1">
        <f t="shared" si="6"/>
        <v>8364.4006899346277</v>
      </c>
      <c r="C96" s="1">
        <f t="shared" si="7"/>
        <v>2927.4944988690313</v>
      </c>
      <c r="D96" s="1">
        <f t="shared" si="8"/>
        <v>5436.9061910655964</v>
      </c>
      <c r="E96" s="1">
        <f t="shared" si="9"/>
        <v>812608.43416097038</v>
      </c>
    </row>
    <row r="97" spans="1:5">
      <c r="A97">
        <f t="shared" si="5"/>
        <v>84</v>
      </c>
      <c r="B97" s="1">
        <f t="shared" si="6"/>
        <v>8364.4006899346277</v>
      </c>
      <c r="C97" s="1">
        <f t="shared" si="7"/>
        <v>2947.0111288614917</v>
      </c>
      <c r="D97" s="1">
        <f t="shared" si="8"/>
        <v>5417.3895610731361</v>
      </c>
      <c r="E97" s="1">
        <f t="shared" si="9"/>
        <v>809661.42303210893</v>
      </c>
    </row>
    <row r="98" spans="1:5">
      <c r="A98">
        <f t="shared" si="5"/>
        <v>85</v>
      </c>
      <c r="B98" s="1">
        <f t="shared" si="6"/>
        <v>8364.4006899346277</v>
      </c>
      <c r="C98" s="1">
        <f t="shared" si="7"/>
        <v>2966.6578697205678</v>
      </c>
      <c r="D98" s="1">
        <f t="shared" si="8"/>
        <v>5397.74282021406</v>
      </c>
      <c r="E98" s="1">
        <f t="shared" si="9"/>
        <v>806694.76516238833</v>
      </c>
    </row>
    <row r="99" spans="1:5">
      <c r="A99">
        <f t="shared" si="5"/>
        <v>86</v>
      </c>
      <c r="B99" s="1">
        <f t="shared" si="6"/>
        <v>8364.4006899346277</v>
      </c>
      <c r="C99" s="1">
        <f t="shared" si="7"/>
        <v>2986.4355888520386</v>
      </c>
      <c r="D99" s="1">
        <f t="shared" si="8"/>
        <v>5377.9651010825892</v>
      </c>
      <c r="E99" s="1">
        <f t="shared" si="9"/>
        <v>803708.32957353629</v>
      </c>
    </row>
    <row r="100" spans="1:5">
      <c r="A100">
        <f t="shared" si="5"/>
        <v>87</v>
      </c>
      <c r="B100" s="1">
        <f t="shared" si="6"/>
        <v>8364.4006899346277</v>
      </c>
      <c r="C100" s="1">
        <f t="shared" si="7"/>
        <v>3006.3451594443859</v>
      </c>
      <c r="D100" s="1">
        <f t="shared" si="8"/>
        <v>5358.0555304902418</v>
      </c>
      <c r="E100" s="1">
        <f t="shared" si="9"/>
        <v>800701.98441409192</v>
      </c>
    </row>
    <row r="101" spans="1:5">
      <c r="A101">
        <f t="shared" si="5"/>
        <v>88</v>
      </c>
      <c r="B101" s="1">
        <f t="shared" si="6"/>
        <v>8364.4006899346277</v>
      </c>
      <c r="C101" s="1">
        <f t="shared" si="7"/>
        <v>3026.3874605073479</v>
      </c>
      <c r="D101" s="1">
        <f t="shared" si="8"/>
        <v>5338.0132294272798</v>
      </c>
      <c r="E101" s="1">
        <f t="shared" si="9"/>
        <v>797675.59695358458</v>
      </c>
    </row>
    <row r="102" spans="1:5">
      <c r="A102">
        <f t="shared" si="5"/>
        <v>89</v>
      </c>
      <c r="B102" s="1">
        <f t="shared" si="6"/>
        <v>8364.4006899346277</v>
      </c>
      <c r="C102" s="1">
        <f t="shared" si="7"/>
        <v>3046.5633769107299</v>
      </c>
      <c r="D102" s="1">
        <f t="shared" si="8"/>
        <v>5317.8373130238979</v>
      </c>
      <c r="E102" s="1">
        <f t="shared" si="9"/>
        <v>794629.03357667383</v>
      </c>
    </row>
    <row r="103" spans="1:5">
      <c r="A103">
        <f t="shared" si="5"/>
        <v>90</v>
      </c>
      <c r="B103" s="1">
        <f t="shared" si="6"/>
        <v>8364.4006899346277</v>
      </c>
      <c r="C103" s="1">
        <f t="shared" si="7"/>
        <v>3066.8737994234689</v>
      </c>
      <c r="D103" s="1">
        <f t="shared" si="8"/>
        <v>5297.5268905111589</v>
      </c>
      <c r="E103" s="1">
        <f t="shared" si="9"/>
        <v>791562.15977725037</v>
      </c>
    </row>
    <row r="104" spans="1:5">
      <c r="A104">
        <f t="shared" si="5"/>
        <v>91</v>
      </c>
      <c r="B104" s="1">
        <f t="shared" si="6"/>
        <v>8364.4006899346277</v>
      </c>
      <c r="C104" s="1">
        <f t="shared" si="7"/>
        <v>3087.3196247529586</v>
      </c>
      <c r="D104" s="1">
        <f t="shared" si="8"/>
        <v>5277.0810651816691</v>
      </c>
      <c r="E104" s="1">
        <f t="shared" si="9"/>
        <v>788474.8401524974</v>
      </c>
    </row>
    <row r="105" spans="1:5">
      <c r="A105">
        <f t="shared" si="5"/>
        <v>92</v>
      </c>
      <c r="B105" s="1">
        <f t="shared" si="6"/>
        <v>8364.4006899346277</v>
      </c>
      <c r="C105" s="1">
        <f t="shared" si="7"/>
        <v>3107.9017555846449</v>
      </c>
      <c r="D105" s="1">
        <f t="shared" si="8"/>
        <v>5256.4989343499828</v>
      </c>
      <c r="E105" s="1">
        <f t="shared" si="9"/>
        <v>785366.93839691277</v>
      </c>
    </row>
    <row r="106" spans="1:5">
      <c r="A106">
        <f t="shared" si="5"/>
        <v>93</v>
      </c>
      <c r="B106" s="1">
        <f t="shared" si="6"/>
        <v>8364.4006899346277</v>
      </c>
      <c r="C106" s="1">
        <f t="shared" si="7"/>
        <v>3128.6211006218755</v>
      </c>
      <c r="D106" s="1">
        <f t="shared" si="8"/>
        <v>5235.7795893127523</v>
      </c>
      <c r="E106" s="1">
        <f t="shared" si="9"/>
        <v>782238.31729629089</v>
      </c>
    </row>
    <row r="107" spans="1:5">
      <c r="A107">
        <f t="shared" si="5"/>
        <v>94</v>
      </c>
      <c r="B107" s="1">
        <f t="shared" si="6"/>
        <v>8364.4006899346277</v>
      </c>
      <c r="C107" s="1">
        <f t="shared" si="7"/>
        <v>3149.4785746260213</v>
      </c>
      <c r="D107" s="1">
        <f t="shared" si="8"/>
        <v>5214.9221153086064</v>
      </c>
      <c r="E107" s="1">
        <f t="shared" si="9"/>
        <v>779088.83872166486</v>
      </c>
    </row>
    <row r="108" spans="1:5">
      <c r="A108">
        <f t="shared" si="5"/>
        <v>95</v>
      </c>
      <c r="B108" s="1">
        <f t="shared" si="6"/>
        <v>8364.4006899346277</v>
      </c>
      <c r="C108" s="1">
        <f t="shared" si="7"/>
        <v>3170.4750984568618</v>
      </c>
      <c r="D108" s="1">
        <f t="shared" si="8"/>
        <v>5193.9255914777659</v>
      </c>
      <c r="E108" s="1">
        <f t="shared" si="9"/>
        <v>775918.36362320802</v>
      </c>
    </row>
    <row r="109" spans="1:5">
      <c r="A109">
        <f t="shared" si="5"/>
        <v>96</v>
      </c>
      <c r="B109" s="1">
        <f t="shared" si="6"/>
        <v>8364.4006899346277</v>
      </c>
      <c r="C109" s="1">
        <f t="shared" si="7"/>
        <v>3191.611599113241</v>
      </c>
      <c r="D109" s="1">
        <f t="shared" si="8"/>
        <v>5172.7890908213867</v>
      </c>
      <c r="E109" s="1">
        <f t="shared" si="9"/>
        <v>772726.75202409481</v>
      </c>
    </row>
    <row r="110" spans="1:5">
      <c r="A110">
        <f t="shared" si="5"/>
        <v>97</v>
      </c>
      <c r="B110" s="1">
        <f t="shared" si="6"/>
        <v>8364.4006899346277</v>
      </c>
      <c r="C110" s="1">
        <f t="shared" si="7"/>
        <v>3212.889009773995</v>
      </c>
      <c r="D110" s="1">
        <f t="shared" si="8"/>
        <v>5151.5116801606327</v>
      </c>
      <c r="E110" s="1">
        <f t="shared" si="9"/>
        <v>769513.86301432084</v>
      </c>
    </row>
    <row r="111" spans="1:5">
      <c r="A111">
        <f t="shared" si="5"/>
        <v>98</v>
      </c>
      <c r="B111" s="1">
        <f t="shared" si="6"/>
        <v>8364.4006899346277</v>
      </c>
      <c r="C111" s="1">
        <f t="shared" si="7"/>
        <v>3234.3082698391554</v>
      </c>
      <c r="D111" s="1">
        <f t="shared" si="8"/>
        <v>5130.0924200954723</v>
      </c>
      <c r="E111" s="1">
        <f t="shared" si="9"/>
        <v>766279.55474448169</v>
      </c>
    </row>
    <row r="112" spans="1:5">
      <c r="A112">
        <f t="shared" si="5"/>
        <v>99</v>
      </c>
      <c r="B112" s="1">
        <f t="shared" si="6"/>
        <v>8364.4006899346277</v>
      </c>
      <c r="C112" s="1">
        <f t="shared" si="7"/>
        <v>3255.8703249714163</v>
      </c>
      <c r="D112" s="1">
        <f t="shared" si="8"/>
        <v>5108.5303649632115</v>
      </c>
      <c r="E112" s="1">
        <f t="shared" si="9"/>
        <v>763023.6844195103</v>
      </c>
    </row>
    <row r="113" spans="1:5">
      <c r="A113">
        <f t="shared" si="5"/>
        <v>100</v>
      </c>
      <c r="B113" s="1">
        <f t="shared" si="6"/>
        <v>8364.4006899346277</v>
      </c>
      <c r="C113" s="1">
        <f t="shared" si="7"/>
        <v>3277.5761271378924</v>
      </c>
      <c r="D113" s="1">
        <f t="shared" si="8"/>
        <v>5086.8245627967353</v>
      </c>
      <c r="E113" s="1">
        <f t="shared" si="9"/>
        <v>759746.10829237243</v>
      </c>
    </row>
    <row r="114" spans="1:5">
      <c r="A114">
        <f t="shared" si="5"/>
        <v>101</v>
      </c>
      <c r="B114" s="1">
        <f t="shared" si="6"/>
        <v>8364.4006899346277</v>
      </c>
      <c r="C114" s="1">
        <f t="shared" si="7"/>
        <v>3299.4266346521445</v>
      </c>
      <c r="D114" s="1">
        <f t="shared" si="8"/>
        <v>5064.9740552824833</v>
      </c>
      <c r="E114" s="1">
        <f t="shared" si="9"/>
        <v>756446.68165772024</v>
      </c>
    </row>
    <row r="115" spans="1:5">
      <c r="A115">
        <f t="shared" si="5"/>
        <v>102</v>
      </c>
      <c r="B115" s="1">
        <f t="shared" si="6"/>
        <v>8364.4006899346277</v>
      </c>
      <c r="C115" s="1">
        <f t="shared" si="7"/>
        <v>3321.4228122164923</v>
      </c>
      <c r="D115" s="1">
        <f t="shared" si="8"/>
        <v>5042.9778777181355</v>
      </c>
      <c r="E115" s="1">
        <f t="shared" si="9"/>
        <v>753125.25884550379</v>
      </c>
    </row>
    <row r="116" spans="1:5">
      <c r="A116">
        <f t="shared" si="5"/>
        <v>103</v>
      </c>
      <c r="B116" s="1">
        <f t="shared" si="6"/>
        <v>8364.4006899346277</v>
      </c>
      <c r="C116" s="1">
        <f t="shared" si="7"/>
        <v>3343.565630964602</v>
      </c>
      <c r="D116" s="1">
        <f t="shared" si="8"/>
        <v>5020.8350589700258</v>
      </c>
      <c r="E116" s="1">
        <f t="shared" si="9"/>
        <v>749781.69321453921</v>
      </c>
    </row>
    <row r="117" spans="1:5">
      <c r="A117">
        <f t="shared" si="5"/>
        <v>104</v>
      </c>
      <c r="B117" s="1">
        <f t="shared" si="6"/>
        <v>8364.4006899346277</v>
      </c>
      <c r="C117" s="1">
        <f t="shared" si="7"/>
        <v>3365.8560685043658</v>
      </c>
      <c r="D117" s="1">
        <f t="shared" si="8"/>
        <v>4998.5446214302619</v>
      </c>
      <c r="E117" s="1">
        <f t="shared" si="9"/>
        <v>746415.83714603481</v>
      </c>
    </row>
    <row r="118" spans="1:5">
      <c r="A118">
        <f t="shared" si="5"/>
        <v>105</v>
      </c>
      <c r="B118" s="1">
        <f t="shared" si="6"/>
        <v>8364.4006899346277</v>
      </c>
      <c r="C118" s="1">
        <f t="shared" si="7"/>
        <v>3388.2951089610624</v>
      </c>
      <c r="D118" s="1">
        <f t="shared" si="8"/>
        <v>4976.1055809735653</v>
      </c>
      <c r="E118" s="1">
        <f t="shared" si="9"/>
        <v>743027.54203707376</v>
      </c>
    </row>
    <row r="119" spans="1:5">
      <c r="A119">
        <f t="shared" si="5"/>
        <v>106</v>
      </c>
      <c r="B119" s="1">
        <f t="shared" si="6"/>
        <v>8364.4006899346277</v>
      </c>
      <c r="C119" s="1">
        <f t="shared" si="7"/>
        <v>3410.8837430208023</v>
      </c>
      <c r="D119" s="1">
        <f t="shared" si="8"/>
        <v>4953.5169469138254</v>
      </c>
      <c r="E119" s="1">
        <f t="shared" si="9"/>
        <v>739616.65829405293</v>
      </c>
    </row>
    <row r="120" spans="1:5">
      <c r="A120">
        <f t="shared" si="5"/>
        <v>107</v>
      </c>
      <c r="B120" s="1">
        <f t="shared" si="6"/>
        <v>8364.4006899346277</v>
      </c>
      <c r="C120" s="1">
        <f t="shared" si="7"/>
        <v>3433.6229679742746</v>
      </c>
      <c r="D120" s="1">
        <f t="shared" si="8"/>
        <v>4930.7777219603531</v>
      </c>
      <c r="E120" s="1">
        <f t="shared" si="9"/>
        <v>736183.03532607865</v>
      </c>
    </row>
    <row r="121" spans="1:5">
      <c r="A121">
        <f t="shared" si="5"/>
        <v>108</v>
      </c>
      <c r="B121" s="1">
        <f t="shared" si="6"/>
        <v>8364.4006899346277</v>
      </c>
      <c r="C121" s="1">
        <f t="shared" si="7"/>
        <v>3456.5137877607694</v>
      </c>
      <c r="D121" s="1">
        <f t="shared" si="8"/>
        <v>4907.8869021738583</v>
      </c>
      <c r="E121" s="1">
        <f t="shared" si="9"/>
        <v>732726.5215383179</v>
      </c>
    </row>
    <row r="122" spans="1:5">
      <c r="A122">
        <f t="shared" si="5"/>
        <v>109</v>
      </c>
      <c r="B122" s="1">
        <f t="shared" si="6"/>
        <v>8364.4006899346277</v>
      </c>
      <c r="C122" s="1">
        <f t="shared" si="7"/>
        <v>3479.5572130125083</v>
      </c>
      <c r="D122" s="1">
        <f t="shared" si="8"/>
        <v>4884.8434769221194</v>
      </c>
      <c r="E122" s="1">
        <f t="shared" si="9"/>
        <v>729246.96432530542</v>
      </c>
    </row>
    <row r="123" spans="1:5">
      <c r="A123">
        <f t="shared" si="5"/>
        <v>110</v>
      </c>
      <c r="B123" s="1">
        <f t="shared" si="6"/>
        <v>8364.4006899346277</v>
      </c>
      <c r="C123" s="1">
        <f t="shared" si="7"/>
        <v>3502.7542610992577</v>
      </c>
      <c r="D123" s="1">
        <f t="shared" si="8"/>
        <v>4861.64642883537</v>
      </c>
      <c r="E123" s="1">
        <f t="shared" si="9"/>
        <v>725744.21006420616</v>
      </c>
    </row>
    <row r="124" spans="1:5">
      <c r="A124">
        <f t="shared" si="5"/>
        <v>111</v>
      </c>
      <c r="B124" s="1">
        <f t="shared" si="6"/>
        <v>8364.4006899346277</v>
      </c>
      <c r="C124" s="1">
        <f t="shared" si="7"/>
        <v>3526.1059561732527</v>
      </c>
      <c r="D124" s="1">
        <f t="shared" si="8"/>
        <v>4838.294733761375</v>
      </c>
      <c r="E124" s="1">
        <f t="shared" si="9"/>
        <v>722218.10410803289</v>
      </c>
    </row>
    <row r="125" spans="1:5">
      <c r="A125">
        <f t="shared" si="5"/>
        <v>112</v>
      </c>
      <c r="B125" s="1">
        <f t="shared" si="6"/>
        <v>8364.4006899346277</v>
      </c>
      <c r="C125" s="1">
        <f t="shared" si="7"/>
        <v>3549.6133292144086</v>
      </c>
      <c r="D125" s="1">
        <f t="shared" si="8"/>
        <v>4814.7873607202191</v>
      </c>
      <c r="E125" s="1">
        <f t="shared" si="9"/>
        <v>718668.49077881849</v>
      </c>
    </row>
    <row r="126" spans="1:5">
      <c r="A126">
        <f t="shared" si="5"/>
        <v>113</v>
      </c>
      <c r="B126" s="1">
        <f t="shared" si="6"/>
        <v>8364.4006899346277</v>
      </c>
      <c r="C126" s="1">
        <f t="shared" si="7"/>
        <v>3573.2774180758379</v>
      </c>
      <c r="D126" s="1">
        <f t="shared" si="8"/>
        <v>4791.1232718587898</v>
      </c>
      <c r="E126" s="1">
        <f t="shared" si="9"/>
        <v>715095.21336074267</v>
      </c>
    </row>
    <row r="127" spans="1:5">
      <c r="A127">
        <f t="shared" si="5"/>
        <v>114</v>
      </c>
      <c r="B127" s="1">
        <f t="shared" si="6"/>
        <v>8364.4006899346277</v>
      </c>
      <c r="C127" s="1">
        <f t="shared" si="7"/>
        <v>3597.0992675296766</v>
      </c>
      <c r="D127" s="1">
        <f t="shared" si="8"/>
        <v>4767.3014224049512</v>
      </c>
      <c r="E127" s="1">
        <f t="shared" si="9"/>
        <v>711498.11409321299</v>
      </c>
    </row>
    <row r="128" spans="1:5">
      <c r="A128">
        <f t="shared" si="5"/>
        <v>115</v>
      </c>
      <c r="B128" s="1">
        <f t="shared" si="6"/>
        <v>8364.4006899346277</v>
      </c>
      <c r="C128" s="1">
        <f t="shared" si="7"/>
        <v>3621.0799293132077</v>
      </c>
      <c r="D128" s="1">
        <f t="shared" si="8"/>
        <v>4743.32076062142</v>
      </c>
      <c r="E128" s="1">
        <f t="shared" si="9"/>
        <v>707877.03416389984</v>
      </c>
    </row>
    <row r="129" spans="1:5">
      <c r="A129">
        <f t="shared" si="5"/>
        <v>116</v>
      </c>
      <c r="B129" s="1">
        <f t="shared" si="6"/>
        <v>8364.4006899346277</v>
      </c>
      <c r="C129" s="1">
        <f t="shared" si="7"/>
        <v>3645.2204621752953</v>
      </c>
      <c r="D129" s="1">
        <f t="shared" si="8"/>
        <v>4719.1802277593324</v>
      </c>
      <c r="E129" s="1">
        <f t="shared" si="9"/>
        <v>704231.81370172452</v>
      </c>
    </row>
    <row r="130" spans="1:5">
      <c r="A130">
        <f t="shared" si="5"/>
        <v>117</v>
      </c>
      <c r="B130" s="1">
        <f t="shared" si="6"/>
        <v>8364.4006899346277</v>
      </c>
      <c r="C130" s="1">
        <f t="shared" si="7"/>
        <v>3669.521931923131</v>
      </c>
      <c r="D130" s="1">
        <f t="shared" si="8"/>
        <v>4694.8787580114968</v>
      </c>
      <c r="E130" s="1">
        <f t="shared" si="9"/>
        <v>700562.29176980141</v>
      </c>
    </row>
    <row r="131" spans="1:5">
      <c r="A131">
        <f t="shared" si="5"/>
        <v>118</v>
      </c>
      <c r="B131" s="1">
        <f t="shared" si="6"/>
        <v>8364.4006899346277</v>
      </c>
      <c r="C131" s="1">
        <f t="shared" si="7"/>
        <v>3693.9854114692844</v>
      </c>
      <c r="D131" s="1">
        <f t="shared" si="8"/>
        <v>4670.4152784653434</v>
      </c>
      <c r="E131" s="1">
        <f t="shared" si="9"/>
        <v>696868.30635833216</v>
      </c>
    </row>
    <row r="132" spans="1:5">
      <c r="A132">
        <f t="shared" si="5"/>
        <v>119</v>
      </c>
      <c r="B132" s="1">
        <f t="shared" si="6"/>
        <v>8364.4006899346277</v>
      </c>
      <c r="C132" s="1">
        <f t="shared" si="7"/>
        <v>3718.61198087908</v>
      </c>
      <c r="D132" s="1">
        <f t="shared" si="8"/>
        <v>4645.7887090555478</v>
      </c>
      <c r="E132" s="1">
        <f t="shared" si="9"/>
        <v>693149.69437745307</v>
      </c>
    </row>
    <row r="133" spans="1:5">
      <c r="A133">
        <f t="shared" si="5"/>
        <v>120</v>
      </c>
      <c r="B133" s="1">
        <f t="shared" si="6"/>
        <v>8364.4006899346277</v>
      </c>
      <c r="C133" s="1">
        <f t="shared" si="7"/>
        <v>3743.4027274182736</v>
      </c>
      <c r="D133" s="1">
        <f t="shared" si="8"/>
        <v>4620.9979625163542</v>
      </c>
      <c r="E133" s="1">
        <f t="shared" si="9"/>
        <v>689406.29165003484</v>
      </c>
    </row>
    <row r="134" spans="1:5">
      <c r="A134">
        <f t="shared" si="5"/>
        <v>121</v>
      </c>
      <c r="B134" s="1">
        <f t="shared" si="6"/>
        <v>8364.4006899346277</v>
      </c>
      <c r="C134" s="1">
        <f t="shared" si="7"/>
        <v>3768.3587456010619</v>
      </c>
      <c r="D134" s="1">
        <f t="shared" si="8"/>
        <v>4596.0419443335659</v>
      </c>
      <c r="E134" s="1">
        <f t="shared" si="9"/>
        <v>685637.93290443381</v>
      </c>
    </row>
    <row r="135" spans="1:5">
      <c r="A135">
        <f t="shared" si="5"/>
        <v>122</v>
      </c>
      <c r="B135" s="1">
        <f t="shared" si="6"/>
        <v>8364.4006899346277</v>
      </c>
      <c r="C135" s="1">
        <f t="shared" si="7"/>
        <v>3793.481137238402</v>
      </c>
      <c r="D135" s="1">
        <f t="shared" si="8"/>
        <v>4570.9195526962258</v>
      </c>
      <c r="E135" s="1">
        <f t="shared" si="9"/>
        <v>681844.45176719537</v>
      </c>
    </row>
    <row r="136" spans="1:5">
      <c r="A136">
        <f t="shared" si="5"/>
        <v>123</v>
      </c>
      <c r="B136" s="1">
        <f t="shared" si="6"/>
        <v>8364.4006899346277</v>
      </c>
      <c r="C136" s="1">
        <f t="shared" si="7"/>
        <v>3818.7710114866586</v>
      </c>
      <c r="D136" s="1">
        <f t="shared" si="8"/>
        <v>4545.6296784479691</v>
      </c>
      <c r="E136" s="1">
        <f t="shared" si="9"/>
        <v>678025.68075570872</v>
      </c>
    </row>
    <row r="137" spans="1:5">
      <c r="A137">
        <f t="shared" si="5"/>
        <v>124</v>
      </c>
      <c r="B137" s="1">
        <f t="shared" si="6"/>
        <v>8364.4006899346277</v>
      </c>
      <c r="C137" s="1">
        <f t="shared" si="7"/>
        <v>3844.2294848965694</v>
      </c>
      <c r="D137" s="1">
        <f t="shared" si="8"/>
        <v>4520.1712050380584</v>
      </c>
      <c r="E137" s="1">
        <f t="shared" si="9"/>
        <v>674181.45127081219</v>
      </c>
    </row>
    <row r="138" spans="1:5">
      <c r="A138">
        <f t="shared" si="5"/>
        <v>125</v>
      </c>
      <c r="B138" s="1">
        <f t="shared" si="6"/>
        <v>8364.4006899346277</v>
      </c>
      <c r="C138" s="1">
        <f t="shared" si="7"/>
        <v>3869.8576814625458</v>
      </c>
      <c r="D138" s="1">
        <f t="shared" si="8"/>
        <v>4494.543008472082</v>
      </c>
      <c r="E138" s="1">
        <f t="shared" si="9"/>
        <v>670311.59358934965</v>
      </c>
    </row>
    <row r="139" spans="1:5">
      <c r="A139">
        <f t="shared" si="5"/>
        <v>126</v>
      </c>
      <c r="B139" s="1">
        <f t="shared" si="6"/>
        <v>8364.4006899346277</v>
      </c>
      <c r="C139" s="1">
        <f t="shared" si="7"/>
        <v>3895.6567326722961</v>
      </c>
      <c r="D139" s="1">
        <f t="shared" si="8"/>
        <v>4468.7439572623316</v>
      </c>
      <c r="E139" s="1">
        <f t="shared" si="9"/>
        <v>666415.93685667741</v>
      </c>
    </row>
    <row r="140" spans="1:5">
      <c r="A140">
        <f t="shared" si="5"/>
        <v>127</v>
      </c>
      <c r="B140" s="1">
        <f t="shared" si="6"/>
        <v>8364.4006899346277</v>
      </c>
      <c r="C140" s="1">
        <f t="shared" si="7"/>
        <v>3921.6277775567778</v>
      </c>
      <c r="D140" s="1">
        <f t="shared" si="8"/>
        <v>4442.7729123778499</v>
      </c>
      <c r="E140" s="1">
        <f t="shared" si="9"/>
        <v>662494.30907912063</v>
      </c>
    </row>
    <row r="141" spans="1:5">
      <c r="A141">
        <f t="shared" si="5"/>
        <v>128</v>
      </c>
      <c r="B141" s="1">
        <f t="shared" si="6"/>
        <v>8364.4006899346277</v>
      </c>
      <c r="C141" s="1">
        <f t="shared" si="7"/>
        <v>3947.7719627404895</v>
      </c>
      <c r="D141" s="1">
        <f t="shared" si="8"/>
        <v>4416.6287271941383</v>
      </c>
      <c r="E141" s="1">
        <f t="shared" si="9"/>
        <v>658546.53711638018</v>
      </c>
    </row>
    <row r="142" spans="1:5">
      <c r="A142">
        <f t="shared" si="5"/>
        <v>129</v>
      </c>
      <c r="B142" s="1">
        <f t="shared" si="6"/>
        <v>8364.4006899346277</v>
      </c>
      <c r="C142" s="1">
        <f t="shared" si="7"/>
        <v>3974.0904424920927</v>
      </c>
      <c r="D142" s="1">
        <f t="shared" si="8"/>
        <v>4390.310247442535</v>
      </c>
      <c r="E142" s="1">
        <f t="shared" si="9"/>
        <v>654572.44667388813</v>
      </c>
    </row>
    <row r="143" spans="1:5">
      <c r="A143">
        <f t="shared" si="5"/>
        <v>130</v>
      </c>
      <c r="B143" s="1">
        <f t="shared" si="6"/>
        <v>8364.4006899346277</v>
      </c>
      <c r="C143" s="1">
        <f t="shared" si="7"/>
        <v>4000.5843787753729</v>
      </c>
      <c r="D143" s="1">
        <f t="shared" si="8"/>
        <v>4363.8163111592548</v>
      </c>
      <c r="E143" s="1">
        <f t="shared" si="9"/>
        <v>650571.86229511281</v>
      </c>
    </row>
    <row r="144" spans="1:5">
      <c r="A144">
        <f t="shared" ref="A144:A178" si="10">IF(($B$7*$B$8&gt;A143),IF(($B$7*$B$8)=A143,"",A143+1),"")</f>
        <v>131</v>
      </c>
      <c r="B144" s="1">
        <f t="shared" ref="B144:B207" si="11">IF(A144="","",$B$14)</f>
        <v>8364.4006899346277</v>
      </c>
      <c r="C144" s="1">
        <f t="shared" ref="C144:C178" si="12">IF(A144="","",B144-D144)</f>
        <v>4027.2549413005418</v>
      </c>
      <c r="D144" s="1">
        <f t="shared" ref="D144:D178" si="13">IF(A144="","",(E143*($B$6/$B$8)))</f>
        <v>4337.145748634086</v>
      </c>
      <c r="E144" s="1">
        <f t="shared" ref="E144:E178" si="14">IF(A144="","",E143-C144)</f>
        <v>646544.60735381232</v>
      </c>
    </row>
    <row r="145" spans="1:5">
      <c r="A145">
        <f t="shared" si="10"/>
        <v>132</v>
      </c>
      <c r="B145" s="1">
        <f t="shared" si="11"/>
        <v>8364.4006899346277</v>
      </c>
      <c r="C145" s="1">
        <f t="shared" si="12"/>
        <v>4054.1033075758787</v>
      </c>
      <c r="D145" s="1">
        <f t="shared" si="13"/>
        <v>4310.297382358749</v>
      </c>
      <c r="E145" s="1">
        <f t="shared" si="14"/>
        <v>642490.5040462364</v>
      </c>
    </row>
    <row r="146" spans="1:5">
      <c r="A146">
        <f t="shared" si="10"/>
        <v>133</v>
      </c>
      <c r="B146" s="1">
        <f t="shared" si="11"/>
        <v>8364.4006899346277</v>
      </c>
      <c r="C146" s="1">
        <f t="shared" si="12"/>
        <v>4081.1306629597184</v>
      </c>
      <c r="D146" s="1">
        <f t="shared" si="13"/>
        <v>4283.2700269749093</v>
      </c>
      <c r="E146" s="1">
        <f t="shared" si="14"/>
        <v>638409.37338327663</v>
      </c>
    </row>
    <row r="147" spans="1:5">
      <c r="A147">
        <f t="shared" si="10"/>
        <v>134</v>
      </c>
      <c r="B147" s="1">
        <f t="shared" si="11"/>
        <v>8364.4006899346277</v>
      </c>
      <c r="C147" s="1">
        <f t="shared" si="12"/>
        <v>4108.338200712783</v>
      </c>
      <c r="D147" s="1">
        <f t="shared" si="13"/>
        <v>4256.0624892218448</v>
      </c>
      <c r="E147" s="1">
        <f t="shared" si="14"/>
        <v>634301.03518256382</v>
      </c>
    </row>
    <row r="148" spans="1:5">
      <c r="A148">
        <f t="shared" si="10"/>
        <v>135</v>
      </c>
      <c r="B148" s="1">
        <f t="shared" si="11"/>
        <v>8364.4006899346277</v>
      </c>
      <c r="C148" s="1">
        <f t="shared" si="12"/>
        <v>4135.7271220508683</v>
      </c>
      <c r="D148" s="1">
        <f t="shared" si="13"/>
        <v>4228.6735678837595</v>
      </c>
      <c r="E148" s="1">
        <f t="shared" si="14"/>
        <v>630165.30806051299</v>
      </c>
    </row>
    <row r="149" spans="1:5">
      <c r="A149">
        <f t="shared" si="10"/>
        <v>136</v>
      </c>
      <c r="B149" s="1">
        <f t="shared" si="11"/>
        <v>8364.4006899346277</v>
      </c>
      <c r="C149" s="1">
        <f t="shared" si="12"/>
        <v>4163.2986361978737</v>
      </c>
      <c r="D149" s="1">
        <f t="shared" si="13"/>
        <v>4201.102053736754</v>
      </c>
      <c r="E149" s="1">
        <f t="shared" si="14"/>
        <v>626002.00942431507</v>
      </c>
    </row>
    <row r="150" spans="1:5">
      <c r="A150">
        <f t="shared" si="10"/>
        <v>137</v>
      </c>
      <c r="B150" s="1">
        <f t="shared" si="11"/>
        <v>8364.4006899346277</v>
      </c>
      <c r="C150" s="1">
        <f t="shared" si="12"/>
        <v>4191.0539604391934</v>
      </c>
      <c r="D150" s="1">
        <f t="shared" si="13"/>
        <v>4173.3467294954344</v>
      </c>
      <c r="E150" s="1">
        <f t="shared" si="14"/>
        <v>621810.9554638759</v>
      </c>
    </row>
    <row r="151" spans="1:5">
      <c r="A151">
        <f t="shared" si="10"/>
        <v>138</v>
      </c>
      <c r="B151" s="1">
        <f t="shared" si="11"/>
        <v>8364.4006899346277</v>
      </c>
      <c r="C151" s="1">
        <f t="shared" si="12"/>
        <v>4218.994320175455</v>
      </c>
      <c r="D151" s="1">
        <f t="shared" si="13"/>
        <v>4145.4063697591728</v>
      </c>
      <c r="E151" s="1">
        <f t="shared" si="14"/>
        <v>617591.96114370041</v>
      </c>
    </row>
    <row r="152" spans="1:5">
      <c r="A152">
        <f t="shared" si="10"/>
        <v>139</v>
      </c>
      <c r="B152" s="1">
        <f t="shared" si="11"/>
        <v>8364.4006899346277</v>
      </c>
      <c r="C152" s="1">
        <f t="shared" si="12"/>
        <v>4247.1209489766252</v>
      </c>
      <c r="D152" s="1">
        <f t="shared" si="13"/>
        <v>4117.2797409580025</v>
      </c>
      <c r="E152" s="1">
        <f t="shared" si="14"/>
        <v>613344.8401947238</v>
      </c>
    </row>
    <row r="153" spans="1:5">
      <c r="A153">
        <f t="shared" si="10"/>
        <v>140</v>
      </c>
      <c r="B153" s="1">
        <f t="shared" si="11"/>
        <v>8364.4006899346277</v>
      </c>
      <c r="C153" s="1">
        <f t="shared" si="12"/>
        <v>4275.4350886364682</v>
      </c>
      <c r="D153" s="1">
        <f t="shared" si="13"/>
        <v>4088.9656012981591</v>
      </c>
      <c r="E153" s="1">
        <f t="shared" si="14"/>
        <v>609069.40510608733</v>
      </c>
    </row>
    <row r="154" spans="1:5">
      <c r="A154">
        <f t="shared" si="10"/>
        <v>141</v>
      </c>
      <c r="B154" s="1">
        <f t="shared" si="11"/>
        <v>8364.4006899346277</v>
      </c>
      <c r="C154" s="1">
        <f t="shared" si="12"/>
        <v>4303.9379892273791</v>
      </c>
      <c r="D154" s="1">
        <f t="shared" si="13"/>
        <v>4060.462700707249</v>
      </c>
      <c r="E154" s="1">
        <f t="shared" si="14"/>
        <v>604765.46711685997</v>
      </c>
    </row>
    <row r="155" spans="1:5">
      <c r="A155">
        <f t="shared" si="10"/>
        <v>142</v>
      </c>
      <c r="B155" s="1">
        <f t="shared" si="11"/>
        <v>8364.4006899346277</v>
      </c>
      <c r="C155" s="1">
        <f t="shared" si="12"/>
        <v>4332.6309091555613</v>
      </c>
      <c r="D155" s="1">
        <f t="shared" si="13"/>
        <v>4031.7697807790669</v>
      </c>
      <c r="E155" s="1">
        <f t="shared" si="14"/>
        <v>600432.83620770439</v>
      </c>
    </row>
    <row r="156" spans="1:5">
      <c r="A156">
        <f t="shared" si="10"/>
        <v>143</v>
      </c>
      <c r="B156" s="1">
        <f t="shared" si="11"/>
        <v>8364.4006899346277</v>
      </c>
      <c r="C156" s="1">
        <f t="shared" si="12"/>
        <v>4361.5151152165981</v>
      </c>
      <c r="D156" s="1">
        <f t="shared" si="13"/>
        <v>4002.8855747180296</v>
      </c>
      <c r="E156" s="1">
        <f t="shared" si="14"/>
        <v>596071.32109248778</v>
      </c>
    </row>
    <row r="157" spans="1:5">
      <c r="A157">
        <f t="shared" si="10"/>
        <v>144</v>
      </c>
      <c r="B157" s="1">
        <f t="shared" si="11"/>
        <v>8364.4006899346277</v>
      </c>
      <c r="C157" s="1">
        <f t="shared" si="12"/>
        <v>4390.5918826513753</v>
      </c>
      <c r="D157" s="1">
        <f t="shared" si="13"/>
        <v>3973.808807283252</v>
      </c>
      <c r="E157" s="1">
        <f t="shared" si="14"/>
        <v>591680.72920983646</v>
      </c>
    </row>
    <row r="158" spans="1:5">
      <c r="A158">
        <f t="shared" si="10"/>
        <v>145</v>
      </c>
      <c r="B158" s="1">
        <f t="shared" si="11"/>
        <v>8364.4006899346277</v>
      </c>
      <c r="C158" s="1">
        <f t="shared" si="12"/>
        <v>4419.8624952023838</v>
      </c>
      <c r="D158" s="1">
        <f t="shared" si="13"/>
        <v>3944.5381947322435</v>
      </c>
      <c r="E158" s="1">
        <f t="shared" si="14"/>
        <v>587260.86671463412</v>
      </c>
    </row>
    <row r="159" spans="1:5">
      <c r="A159">
        <f t="shared" si="10"/>
        <v>146</v>
      </c>
      <c r="B159" s="1">
        <f t="shared" si="11"/>
        <v>8364.4006899346277</v>
      </c>
      <c r="C159" s="1">
        <f t="shared" si="12"/>
        <v>4449.3282451703999</v>
      </c>
      <c r="D159" s="1">
        <f t="shared" si="13"/>
        <v>3915.0724447642278</v>
      </c>
      <c r="E159" s="1">
        <f t="shared" si="14"/>
        <v>582811.5384694637</v>
      </c>
    </row>
    <row r="160" spans="1:5">
      <c r="A160">
        <f t="shared" si="10"/>
        <v>147</v>
      </c>
      <c r="B160" s="1">
        <f t="shared" si="11"/>
        <v>8364.4006899346277</v>
      </c>
      <c r="C160" s="1">
        <f t="shared" si="12"/>
        <v>4478.9904334715357</v>
      </c>
      <c r="D160" s="1">
        <f t="shared" si="13"/>
        <v>3885.4102564630916</v>
      </c>
      <c r="E160" s="1">
        <f t="shared" si="14"/>
        <v>578332.54803599219</v>
      </c>
    </row>
    <row r="161" spans="1:5">
      <c r="A161">
        <f t="shared" si="10"/>
        <v>148</v>
      </c>
      <c r="B161" s="1">
        <f t="shared" si="11"/>
        <v>8364.4006899346277</v>
      </c>
      <c r="C161" s="1">
        <f t="shared" si="12"/>
        <v>4508.8503696946791</v>
      </c>
      <c r="D161" s="1">
        <f t="shared" si="13"/>
        <v>3855.5503202399482</v>
      </c>
      <c r="E161" s="1">
        <f t="shared" si="14"/>
        <v>573823.69766629755</v>
      </c>
    </row>
    <row r="162" spans="1:5">
      <c r="A162">
        <f t="shared" si="10"/>
        <v>149</v>
      </c>
      <c r="B162" s="1">
        <f t="shared" si="11"/>
        <v>8364.4006899346277</v>
      </c>
      <c r="C162" s="1">
        <f t="shared" si="12"/>
        <v>4538.9093721593108</v>
      </c>
      <c r="D162" s="1">
        <f t="shared" si="13"/>
        <v>3825.4913177753174</v>
      </c>
      <c r="E162" s="1">
        <f t="shared" si="14"/>
        <v>569284.78829413827</v>
      </c>
    </row>
    <row r="163" spans="1:5">
      <c r="A163">
        <f t="shared" si="10"/>
        <v>150</v>
      </c>
      <c r="B163" s="1">
        <f t="shared" si="11"/>
        <v>8364.4006899346277</v>
      </c>
      <c r="C163" s="1">
        <f t="shared" si="12"/>
        <v>4569.1687679737061</v>
      </c>
      <c r="D163" s="1">
        <f t="shared" si="13"/>
        <v>3795.2319219609221</v>
      </c>
      <c r="E163" s="1">
        <f t="shared" si="14"/>
        <v>564715.61952616461</v>
      </c>
    </row>
    <row r="164" spans="1:5">
      <c r="A164">
        <f t="shared" si="10"/>
        <v>151</v>
      </c>
      <c r="B164" s="1">
        <f t="shared" si="11"/>
        <v>8364.4006899346277</v>
      </c>
      <c r="C164" s="1">
        <f t="shared" si="12"/>
        <v>4599.62989309353</v>
      </c>
      <c r="D164" s="1">
        <f t="shared" si="13"/>
        <v>3764.7707968410978</v>
      </c>
      <c r="E164" s="1">
        <f t="shared" si="14"/>
        <v>560115.98963307112</v>
      </c>
    </row>
    <row r="165" spans="1:5">
      <c r="A165">
        <f t="shared" si="10"/>
        <v>152</v>
      </c>
      <c r="B165" s="1">
        <f t="shared" si="11"/>
        <v>8364.4006899346277</v>
      </c>
      <c r="C165" s="1">
        <f t="shared" si="12"/>
        <v>4630.2940923808201</v>
      </c>
      <c r="D165" s="1">
        <f t="shared" si="13"/>
        <v>3734.1065975538077</v>
      </c>
      <c r="E165" s="1">
        <f t="shared" si="14"/>
        <v>555485.69554069033</v>
      </c>
    </row>
    <row r="166" spans="1:5">
      <c r="A166">
        <f t="shared" si="10"/>
        <v>153</v>
      </c>
      <c r="B166" s="1">
        <f t="shared" si="11"/>
        <v>8364.4006899346277</v>
      </c>
      <c r="C166" s="1">
        <f t="shared" si="12"/>
        <v>4661.1627196633581</v>
      </c>
      <c r="D166" s="1">
        <f t="shared" si="13"/>
        <v>3703.2379702712692</v>
      </c>
      <c r="E166" s="1">
        <f t="shared" si="14"/>
        <v>550824.53282102698</v>
      </c>
    </row>
    <row r="167" spans="1:5">
      <c r="A167">
        <f t="shared" si="10"/>
        <v>154</v>
      </c>
      <c r="B167" s="1">
        <f t="shared" si="11"/>
        <v>8364.4006899346277</v>
      </c>
      <c r="C167" s="1">
        <f t="shared" si="12"/>
        <v>4692.2371377944473</v>
      </c>
      <c r="D167" s="1">
        <f t="shared" si="13"/>
        <v>3672.1635521401799</v>
      </c>
      <c r="E167" s="1">
        <f t="shared" si="14"/>
        <v>546132.29568323249</v>
      </c>
    </row>
    <row r="168" spans="1:5">
      <c r="A168">
        <f t="shared" si="10"/>
        <v>155</v>
      </c>
      <c r="B168" s="1">
        <f t="shared" si="11"/>
        <v>8364.4006899346277</v>
      </c>
      <c r="C168" s="1">
        <f t="shared" si="12"/>
        <v>4723.5187187130778</v>
      </c>
      <c r="D168" s="1">
        <f t="shared" si="13"/>
        <v>3640.88197122155</v>
      </c>
      <c r="E168" s="1">
        <f t="shared" si="14"/>
        <v>541408.77696451941</v>
      </c>
    </row>
    <row r="169" spans="1:5">
      <c r="A169">
        <f t="shared" si="10"/>
        <v>156</v>
      </c>
      <c r="B169" s="1">
        <f t="shared" si="11"/>
        <v>8364.4006899346277</v>
      </c>
      <c r="C169" s="1">
        <f t="shared" si="12"/>
        <v>4755.0088435044981</v>
      </c>
      <c r="D169" s="1">
        <f t="shared" si="13"/>
        <v>3609.3918464301296</v>
      </c>
      <c r="E169" s="1">
        <f t="shared" si="14"/>
        <v>536653.76812101493</v>
      </c>
    </row>
    <row r="170" spans="1:5">
      <c r="A170">
        <f t="shared" si="10"/>
        <v>157</v>
      </c>
      <c r="B170" s="1">
        <f t="shared" si="11"/>
        <v>8364.4006899346277</v>
      </c>
      <c r="C170" s="1">
        <f t="shared" si="12"/>
        <v>4786.7089024611942</v>
      </c>
      <c r="D170" s="1">
        <f t="shared" si="13"/>
        <v>3577.6917874734331</v>
      </c>
      <c r="E170" s="1">
        <f t="shared" si="14"/>
        <v>531867.05921855371</v>
      </c>
    </row>
    <row r="171" spans="1:5">
      <c r="A171">
        <f t="shared" si="10"/>
        <v>158</v>
      </c>
      <c r="B171" s="1">
        <f t="shared" si="11"/>
        <v>8364.4006899346277</v>
      </c>
      <c r="C171" s="1">
        <f t="shared" si="12"/>
        <v>4818.6202951442692</v>
      </c>
      <c r="D171" s="1">
        <f t="shared" si="13"/>
        <v>3545.7803947903585</v>
      </c>
      <c r="E171" s="1">
        <f t="shared" si="14"/>
        <v>527048.43892340944</v>
      </c>
    </row>
    <row r="172" spans="1:5">
      <c r="A172">
        <f t="shared" si="10"/>
        <v>159</v>
      </c>
      <c r="B172" s="1">
        <f t="shared" si="11"/>
        <v>8364.4006899346277</v>
      </c>
      <c r="C172" s="1">
        <f t="shared" si="12"/>
        <v>4850.744430445231</v>
      </c>
      <c r="D172" s="1">
        <f t="shared" si="13"/>
        <v>3513.6562594893967</v>
      </c>
      <c r="E172" s="1">
        <f t="shared" si="14"/>
        <v>522197.69449296419</v>
      </c>
    </row>
    <row r="173" spans="1:5">
      <c r="A173">
        <f t="shared" si="10"/>
        <v>160</v>
      </c>
      <c r="B173" s="1">
        <f t="shared" si="11"/>
        <v>8364.4006899346277</v>
      </c>
      <c r="C173" s="1">
        <f t="shared" si="12"/>
        <v>4883.0827266481992</v>
      </c>
      <c r="D173" s="1">
        <f t="shared" si="13"/>
        <v>3481.317963286428</v>
      </c>
      <c r="E173" s="1">
        <f t="shared" si="14"/>
        <v>517314.611766316</v>
      </c>
    </row>
    <row r="174" spans="1:5">
      <c r="A174">
        <f t="shared" si="10"/>
        <v>161</v>
      </c>
      <c r="B174" s="1">
        <f t="shared" si="11"/>
        <v>8364.4006899346277</v>
      </c>
      <c r="C174" s="1">
        <f t="shared" si="12"/>
        <v>4915.6366114925204</v>
      </c>
      <c r="D174" s="1">
        <f t="shared" si="13"/>
        <v>3448.7640784421069</v>
      </c>
      <c r="E174" s="1">
        <f t="shared" si="14"/>
        <v>512398.97515482345</v>
      </c>
    </row>
    <row r="175" spans="1:5">
      <c r="A175">
        <f t="shared" si="10"/>
        <v>162</v>
      </c>
      <c r="B175" s="1">
        <f t="shared" si="11"/>
        <v>8364.4006899346277</v>
      </c>
      <c r="C175" s="1">
        <f t="shared" si="12"/>
        <v>4948.4075222358042</v>
      </c>
      <c r="D175" s="1">
        <f t="shared" si="13"/>
        <v>3415.9931676988231</v>
      </c>
      <c r="E175" s="1">
        <f t="shared" si="14"/>
        <v>507450.56763258763</v>
      </c>
    </row>
    <row r="176" spans="1:5">
      <c r="A176">
        <f t="shared" si="10"/>
        <v>163</v>
      </c>
      <c r="B176" s="1">
        <f t="shared" si="11"/>
        <v>8364.4006899346277</v>
      </c>
      <c r="C176" s="1">
        <f t="shared" si="12"/>
        <v>4981.3969057173763</v>
      </c>
      <c r="D176" s="1">
        <f t="shared" si="13"/>
        <v>3383.003784217251</v>
      </c>
      <c r="E176" s="1">
        <f t="shared" si="14"/>
        <v>502469.17072687024</v>
      </c>
    </row>
    <row r="177" spans="1:5">
      <c r="A177">
        <f t="shared" si="10"/>
        <v>164</v>
      </c>
      <c r="B177" s="1">
        <f t="shared" si="11"/>
        <v>8364.4006899346277</v>
      </c>
      <c r="C177" s="1">
        <f t="shared" si="12"/>
        <v>5014.6062184221591</v>
      </c>
      <c r="D177" s="1">
        <f t="shared" si="13"/>
        <v>3349.7944715124686</v>
      </c>
      <c r="E177" s="1">
        <f t="shared" si="14"/>
        <v>497454.56450844806</v>
      </c>
    </row>
    <row r="178" spans="1:5">
      <c r="A178">
        <f t="shared" si="10"/>
        <v>165</v>
      </c>
      <c r="B178" s="1">
        <f t="shared" si="11"/>
        <v>8364.4006899346277</v>
      </c>
      <c r="C178" s="1">
        <f t="shared" si="12"/>
        <v>5048.0369265449735</v>
      </c>
      <c r="D178" s="1">
        <f t="shared" si="13"/>
        <v>3316.3637633896542</v>
      </c>
      <c r="E178" s="1">
        <f t="shared" si="14"/>
        <v>492406.52758190309</v>
      </c>
    </row>
    <row r="179" spans="1:5">
      <c r="A179">
        <f t="shared" ref="A179:A242" si="15">IF(($B$7*$B$8&gt;A178),IF(($B$7*$B$8)=A178,"",A178+1),"")</f>
        <v>166</v>
      </c>
      <c r="B179" s="1">
        <f t="shared" si="11"/>
        <v>8364.4006899346277</v>
      </c>
      <c r="C179" s="1">
        <f t="shared" ref="C179:C242" si="16">IF(A179="","",B179-D179)</f>
        <v>5081.6905060552735</v>
      </c>
      <c r="D179" s="1">
        <f t="shared" ref="D179:D242" si="17">IF(A179="","",(E178*($B$6/$B$8)))</f>
        <v>3282.7101838793542</v>
      </c>
      <c r="E179" s="1">
        <f t="shared" ref="E179:E242" si="18">IF(A179="","",E178-C179)</f>
        <v>487324.83707584784</v>
      </c>
    </row>
    <row r="180" spans="1:5">
      <c r="A180">
        <f t="shared" si="15"/>
        <v>167</v>
      </c>
      <c r="B180" s="1">
        <f t="shared" si="11"/>
        <v>8364.4006899346277</v>
      </c>
      <c r="C180" s="1">
        <f t="shared" si="16"/>
        <v>5115.5684427623091</v>
      </c>
      <c r="D180" s="1">
        <f t="shared" si="17"/>
        <v>3248.8322471723191</v>
      </c>
      <c r="E180" s="1">
        <f t="shared" si="18"/>
        <v>482209.26863308554</v>
      </c>
    </row>
    <row r="181" spans="1:5">
      <c r="A181">
        <f t="shared" si="15"/>
        <v>168</v>
      </c>
      <c r="B181" s="1">
        <f t="shared" si="11"/>
        <v>8364.4006899346277</v>
      </c>
      <c r="C181" s="1">
        <f t="shared" si="16"/>
        <v>5149.6722323807244</v>
      </c>
      <c r="D181" s="1">
        <f t="shared" si="17"/>
        <v>3214.7284575539038</v>
      </c>
      <c r="E181" s="1">
        <f t="shared" si="18"/>
        <v>477059.59640070482</v>
      </c>
    </row>
    <row r="182" spans="1:5">
      <c r="A182">
        <f t="shared" si="15"/>
        <v>169</v>
      </c>
      <c r="B182" s="1">
        <f t="shared" si="11"/>
        <v>8364.4006899346277</v>
      </c>
      <c r="C182" s="1">
        <f t="shared" si="16"/>
        <v>5184.0033805965959</v>
      </c>
      <c r="D182" s="1">
        <f t="shared" si="17"/>
        <v>3180.3973093380323</v>
      </c>
      <c r="E182" s="1">
        <f t="shared" si="18"/>
        <v>471875.59302010824</v>
      </c>
    </row>
    <row r="183" spans="1:5">
      <c r="A183">
        <f t="shared" si="15"/>
        <v>170</v>
      </c>
      <c r="B183" s="1">
        <f t="shared" si="11"/>
        <v>8364.4006899346277</v>
      </c>
      <c r="C183" s="1">
        <f t="shared" si="16"/>
        <v>5218.5634031339059</v>
      </c>
      <c r="D183" s="1">
        <f t="shared" si="17"/>
        <v>3145.8372868007218</v>
      </c>
      <c r="E183" s="1">
        <f t="shared" si="18"/>
        <v>466657.02961697435</v>
      </c>
    </row>
    <row r="184" spans="1:5">
      <c r="A184">
        <f t="shared" si="15"/>
        <v>171</v>
      </c>
      <c r="B184" s="1">
        <f t="shared" si="11"/>
        <v>8364.4006899346277</v>
      </c>
      <c r="C184" s="1">
        <f t="shared" si="16"/>
        <v>5253.3538258214649</v>
      </c>
      <c r="D184" s="1">
        <f t="shared" si="17"/>
        <v>3111.0468641131624</v>
      </c>
      <c r="E184" s="1">
        <f t="shared" si="18"/>
        <v>461403.67579115287</v>
      </c>
    </row>
    <row r="185" spans="1:5">
      <c r="A185">
        <f t="shared" si="15"/>
        <v>172</v>
      </c>
      <c r="B185" s="1">
        <f t="shared" si="11"/>
        <v>8364.4006899346277</v>
      </c>
      <c r="C185" s="1">
        <f t="shared" si="16"/>
        <v>5288.3761846602756</v>
      </c>
      <c r="D185" s="1">
        <f t="shared" si="17"/>
        <v>3076.0245052743526</v>
      </c>
      <c r="E185" s="1">
        <f t="shared" si="18"/>
        <v>456115.29960649257</v>
      </c>
    </row>
    <row r="186" spans="1:5">
      <c r="A186">
        <f t="shared" si="15"/>
        <v>173</v>
      </c>
      <c r="B186" s="1">
        <f t="shared" si="11"/>
        <v>8364.4006899346277</v>
      </c>
      <c r="C186" s="1">
        <f t="shared" si="16"/>
        <v>5323.6320258913438</v>
      </c>
      <c r="D186" s="1">
        <f t="shared" si="17"/>
        <v>3040.7686640432839</v>
      </c>
      <c r="E186" s="1">
        <f t="shared" si="18"/>
        <v>450791.66758060124</v>
      </c>
    </row>
    <row r="187" spans="1:5">
      <c r="A187">
        <f t="shared" si="15"/>
        <v>174</v>
      </c>
      <c r="B187" s="1">
        <f t="shared" si="11"/>
        <v>8364.4006899346277</v>
      </c>
      <c r="C187" s="1">
        <f t="shared" si="16"/>
        <v>5359.1229060639525</v>
      </c>
      <c r="D187" s="1">
        <f t="shared" si="17"/>
        <v>3005.2777838706752</v>
      </c>
      <c r="E187" s="1">
        <f t="shared" si="18"/>
        <v>445432.54467453726</v>
      </c>
    </row>
    <row r="188" spans="1:5">
      <c r="A188">
        <f t="shared" si="15"/>
        <v>175</v>
      </c>
      <c r="B188" s="1">
        <f t="shared" si="11"/>
        <v>8364.4006899346277</v>
      </c>
      <c r="C188" s="1">
        <f t="shared" si="16"/>
        <v>5394.8503921043794</v>
      </c>
      <c r="D188" s="1">
        <f t="shared" si="17"/>
        <v>2969.5502978302484</v>
      </c>
      <c r="E188" s="1">
        <f t="shared" si="18"/>
        <v>440037.6942824329</v>
      </c>
    </row>
    <row r="189" spans="1:5">
      <c r="A189">
        <f t="shared" si="15"/>
        <v>176</v>
      </c>
      <c r="B189" s="1">
        <f t="shared" si="11"/>
        <v>8364.4006899346277</v>
      </c>
      <c r="C189" s="1">
        <f t="shared" si="16"/>
        <v>5430.816061385075</v>
      </c>
      <c r="D189" s="1">
        <f t="shared" si="17"/>
        <v>2933.5846285495527</v>
      </c>
      <c r="E189" s="1">
        <f t="shared" si="18"/>
        <v>434606.87822104781</v>
      </c>
    </row>
    <row r="190" spans="1:5">
      <c r="A190">
        <f t="shared" si="15"/>
        <v>177</v>
      </c>
      <c r="B190" s="1">
        <f t="shared" si="11"/>
        <v>8364.4006899346277</v>
      </c>
      <c r="C190" s="1">
        <f t="shared" si="16"/>
        <v>5467.0215017943083</v>
      </c>
      <c r="D190" s="1">
        <f t="shared" si="17"/>
        <v>2897.379188140319</v>
      </c>
      <c r="E190" s="1">
        <f t="shared" si="18"/>
        <v>429139.85671925353</v>
      </c>
    </row>
    <row r="191" spans="1:5">
      <c r="A191">
        <f t="shared" si="15"/>
        <v>178</v>
      </c>
      <c r="B191" s="1">
        <f t="shared" si="11"/>
        <v>8364.4006899346277</v>
      </c>
      <c r="C191" s="1">
        <f t="shared" si="16"/>
        <v>5503.4683118062712</v>
      </c>
      <c r="D191" s="1">
        <f t="shared" si="17"/>
        <v>2860.932378128357</v>
      </c>
      <c r="E191" s="1">
        <f t="shared" si="18"/>
        <v>423636.38840744726</v>
      </c>
    </row>
    <row r="192" spans="1:5">
      <c r="A192">
        <f t="shared" si="15"/>
        <v>179</v>
      </c>
      <c r="B192" s="1">
        <f t="shared" si="11"/>
        <v>8364.4006899346277</v>
      </c>
      <c r="C192" s="1">
        <f t="shared" si="16"/>
        <v>5540.1581005516455</v>
      </c>
      <c r="D192" s="1">
        <f t="shared" si="17"/>
        <v>2824.2425893829818</v>
      </c>
      <c r="E192" s="1">
        <f t="shared" si="18"/>
        <v>418096.23030689562</v>
      </c>
    </row>
    <row r="193" spans="1:5">
      <c r="A193">
        <f t="shared" si="15"/>
        <v>180</v>
      </c>
      <c r="B193" s="1">
        <f t="shared" si="11"/>
        <v>8364.4006899346277</v>
      </c>
      <c r="C193" s="1">
        <f t="shared" si="16"/>
        <v>5577.0924878886563</v>
      </c>
      <c r="D193" s="1">
        <f t="shared" si="17"/>
        <v>2787.308202045971</v>
      </c>
      <c r="E193" s="1">
        <f t="shared" si="18"/>
        <v>412519.13781900698</v>
      </c>
    </row>
    <row r="194" spans="1:5">
      <c r="A194">
        <f t="shared" si="15"/>
        <v>181</v>
      </c>
      <c r="B194" s="1">
        <f t="shared" si="11"/>
        <v>8364.4006899346277</v>
      </c>
      <c r="C194" s="1">
        <f t="shared" si="16"/>
        <v>5614.2731044745815</v>
      </c>
      <c r="D194" s="1">
        <f t="shared" si="17"/>
        <v>2750.1275854600467</v>
      </c>
      <c r="E194" s="1">
        <f t="shared" si="18"/>
        <v>406904.86471453239</v>
      </c>
    </row>
    <row r="195" spans="1:5">
      <c r="A195">
        <f t="shared" si="15"/>
        <v>182</v>
      </c>
      <c r="B195" s="1">
        <f t="shared" si="11"/>
        <v>8364.4006899346277</v>
      </c>
      <c r="C195" s="1">
        <f t="shared" si="16"/>
        <v>5651.7015918377456</v>
      </c>
      <c r="D195" s="1">
        <f t="shared" si="17"/>
        <v>2712.6990980968826</v>
      </c>
      <c r="E195" s="1">
        <f t="shared" si="18"/>
        <v>401253.16312269465</v>
      </c>
    </row>
    <row r="196" spans="1:5">
      <c r="A196">
        <f t="shared" si="15"/>
        <v>183</v>
      </c>
      <c r="B196" s="1">
        <f t="shared" si="11"/>
        <v>8364.4006899346277</v>
      </c>
      <c r="C196" s="1">
        <f t="shared" si="16"/>
        <v>5689.379602449997</v>
      </c>
      <c r="D196" s="1">
        <f t="shared" si="17"/>
        <v>2675.0210874846312</v>
      </c>
      <c r="E196" s="1">
        <f t="shared" si="18"/>
        <v>395563.78352024464</v>
      </c>
    </row>
    <row r="197" spans="1:5">
      <c r="A197">
        <f t="shared" si="15"/>
        <v>184</v>
      </c>
      <c r="B197" s="1">
        <f t="shared" si="11"/>
        <v>8364.4006899346277</v>
      </c>
      <c r="C197" s="1">
        <f t="shared" si="16"/>
        <v>5727.3087997996627</v>
      </c>
      <c r="D197" s="1">
        <f t="shared" si="17"/>
        <v>2637.0918901349646</v>
      </c>
      <c r="E197" s="1">
        <f t="shared" si="18"/>
        <v>389836.474720445</v>
      </c>
    </row>
    <row r="198" spans="1:5">
      <c r="A198">
        <f t="shared" si="15"/>
        <v>185</v>
      </c>
      <c r="B198" s="1">
        <f t="shared" si="11"/>
        <v>8364.4006899346277</v>
      </c>
      <c r="C198" s="1">
        <f t="shared" si="16"/>
        <v>5765.4908584649947</v>
      </c>
      <c r="D198" s="1">
        <f t="shared" si="17"/>
        <v>2598.9098314696334</v>
      </c>
      <c r="E198" s="1">
        <f t="shared" si="18"/>
        <v>384070.98386198003</v>
      </c>
    </row>
    <row r="199" spans="1:5">
      <c r="A199">
        <f t="shared" si="15"/>
        <v>186</v>
      </c>
      <c r="B199" s="1">
        <f t="shared" si="11"/>
        <v>8364.4006899346277</v>
      </c>
      <c r="C199" s="1">
        <f t="shared" si="16"/>
        <v>5803.9274641880938</v>
      </c>
      <c r="D199" s="1">
        <f t="shared" si="17"/>
        <v>2560.4732257465339</v>
      </c>
      <c r="E199" s="1">
        <f t="shared" si="18"/>
        <v>378267.05639779195</v>
      </c>
    </row>
    <row r="200" spans="1:5">
      <c r="A200">
        <f t="shared" si="15"/>
        <v>187</v>
      </c>
      <c r="B200" s="1">
        <f t="shared" si="11"/>
        <v>8364.4006899346277</v>
      </c>
      <c r="C200" s="1">
        <f t="shared" si="16"/>
        <v>5842.6203139493482</v>
      </c>
      <c r="D200" s="1">
        <f t="shared" si="17"/>
        <v>2521.78037598528</v>
      </c>
      <c r="E200" s="1">
        <f t="shared" si="18"/>
        <v>372424.43608384259</v>
      </c>
    </row>
    <row r="201" spans="1:5">
      <c r="A201">
        <f t="shared" si="15"/>
        <v>188</v>
      </c>
      <c r="B201" s="1">
        <f t="shared" si="11"/>
        <v>8364.4006899346277</v>
      </c>
      <c r="C201" s="1">
        <f t="shared" si="16"/>
        <v>5881.5711160423434</v>
      </c>
      <c r="D201" s="1">
        <f t="shared" si="17"/>
        <v>2482.8295738922843</v>
      </c>
      <c r="E201" s="1">
        <f t="shared" si="18"/>
        <v>366542.86496780027</v>
      </c>
    </row>
    <row r="202" spans="1:5">
      <c r="A202">
        <f t="shared" si="15"/>
        <v>189</v>
      </c>
      <c r="B202" s="1">
        <f t="shared" si="11"/>
        <v>8364.4006899346277</v>
      </c>
      <c r="C202" s="1">
        <f t="shared" si="16"/>
        <v>5920.7815901492922</v>
      </c>
      <c r="D202" s="1">
        <f t="shared" si="17"/>
        <v>2443.6190997853355</v>
      </c>
      <c r="E202" s="1">
        <f t="shared" si="18"/>
        <v>360622.083377651</v>
      </c>
    </row>
    <row r="203" spans="1:5">
      <c r="A203">
        <f t="shared" si="15"/>
        <v>190</v>
      </c>
      <c r="B203" s="1">
        <f t="shared" si="11"/>
        <v>8364.4006899346277</v>
      </c>
      <c r="C203" s="1">
        <f t="shared" si="16"/>
        <v>5960.2534674169547</v>
      </c>
      <c r="D203" s="1">
        <f t="shared" si="17"/>
        <v>2404.1472225176735</v>
      </c>
      <c r="E203" s="1">
        <f t="shared" si="18"/>
        <v>354661.82991023402</v>
      </c>
    </row>
    <row r="204" spans="1:5">
      <c r="A204">
        <f t="shared" si="15"/>
        <v>191</v>
      </c>
      <c r="B204" s="1">
        <f t="shared" si="11"/>
        <v>8364.4006899346277</v>
      </c>
      <c r="C204" s="1">
        <f t="shared" si="16"/>
        <v>5999.9884905330673</v>
      </c>
      <c r="D204" s="1">
        <f t="shared" si="17"/>
        <v>2364.4121994015604</v>
      </c>
      <c r="E204" s="1">
        <f t="shared" si="18"/>
        <v>348661.84141970094</v>
      </c>
    </row>
    <row r="205" spans="1:5">
      <c r="A205">
        <f t="shared" si="15"/>
        <v>192</v>
      </c>
      <c r="B205" s="1">
        <f t="shared" si="11"/>
        <v>8364.4006899346277</v>
      </c>
      <c r="C205" s="1">
        <f t="shared" si="16"/>
        <v>6039.9884138032885</v>
      </c>
      <c r="D205" s="1">
        <f t="shared" si="17"/>
        <v>2324.4122761313397</v>
      </c>
      <c r="E205" s="1">
        <f t="shared" si="18"/>
        <v>342621.85300589766</v>
      </c>
    </row>
    <row r="206" spans="1:5">
      <c r="A206">
        <f t="shared" si="15"/>
        <v>193</v>
      </c>
      <c r="B206" s="1">
        <f t="shared" si="11"/>
        <v>8364.4006899346277</v>
      </c>
      <c r="C206" s="1">
        <f t="shared" si="16"/>
        <v>6080.2550032286435</v>
      </c>
      <c r="D206" s="1">
        <f t="shared" si="17"/>
        <v>2284.1456867059846</v>
      </c>
      <c r="E206" s="1">
        <f t="shared" si="18"/>
        <v>336541.59800266899</v>
      </c>
    </row>
    <row r="207" spans="1:5">
      <c r="A207">
        <f t="shared" si="15"/>
        <v>194</v>
      </c>
      <c r="B207" s="1">
        <f t="shared" si="11"/>
        <v>8364.4006899346277</v>
      </c>
      <c r="C207" s="1">
        <f t="shared" si="16"/>
        <v>6120.7900365835012</v>
      </c>
      <c r="D207" s="1">
        <f t="shared" si="17"/>
        <v>2243.610653351127</v>
      </c>
      <c r="E207" s="1">
        <f t="shared" si="18"/>
        <v>330420.8079660855</v>
      </c>
    </row>
    <row r="208" spans="1:5">
      <c r="A208">
        <f t="shared" si="15"/>
        <v>195</v>
      </c>
      <c r="B208" s="1">
        <f t="shared" ref="B208:B271" si="19">IF(A208="","",$B$14)</f>
        <v>8364.4006899346277</v>
      </c>
      <c r="C208" s="1">
        <f t="shared" si="16"/>
        <v>6161.5953034940576</v>
      </c>
      <c r="D208" s="1">
        <f t="shared" si="17"/>
        <v>2202.8053864405701</v>
      </c>
      <c r="E208" s="1">
        <f t="shared" si="18"/>
        <v>324259.21266259142</v>
      </c>
    </row>
    <row r="209" spans="1:5">
      <c r="A209">
        <f t="shared" si="15"/>
        <v>196</v>
      </c>
      <c r="B209" s="1">
        <f t="shared" si="19"/>
        <v>8364.4006899346277</v>
      </c>
      <c r="C209" s="1">
        <f t="shared" si="16"/>
        <v>6202.6726055173513</v>
      </c>
      <c r="D209" s="1">
        <f t="shared" si="17"/>
        <v>2161.7280844172765</v>
      </c>
      <c r="E209" s="1">
        <f t="shared" si="18"/>
        <v>318056.54005707405</v>
      </c>
    </row>
    <row r="210" spans="1:5">
      <c r="A210">
        <f t="shared" si="15"/>
        <v>197</v>
      </c>
      <c r="B210" s="1">
        <f t="shared" si="19"/>
        <v>8364.4006899346277</v>
      </c>
      <c r="C210" s="1">
        <f t="shared" si="16"/>
        <v>6244.0237562208004</v>
      </c>
      <c r="D210" s="1">
        <f t="shared" si="17"/>
        <v>2120.3769337138269</v>
      </c>
      <c r="E210" s="1">
        <f t="shared" si="18"/>
        <v>311812.51630085323</v>
      </c>
    </row>
    <row r="211" spans="1:5">
      <c r="A211">
        <f t="shared" si="15"/>
        <v>198</v>
      </c>
      <c r="B211" s="1">
        <f t="shared" si="19"/>
        <v>8364.4006899346277</v>
      </c>
      <c r="C211" s="1">
        <f t="shared" si="16"/>
        <v>6285.6505812622727</v>
      </c>
      <c r="D211" s="1">
        <f t="shared" si="17"/>
        <v>2078.7501086723551</v>
      </c>
      <c r="E211" s="1">
        <f t="shared" si="18"/>
        <v>305526.86571959098</v>
      </c>
    </row>
    <row r="212" spans="1:5">
      <c r="A212">
        <f t="shared" si="15"/>
        <v>199</v>
      </c>
      <c r="B212" s="1">
        <f t="shared" si="19"/>
        <v>8364.4006899346277</v>
      </c>
      <c r="C212" s="1">
        <f t="shared" si="16"/>
        <v>6327.5549184706879</v>
      </c>
      <c r="D212" s="1">
        <f t="shared" si="17"/>
        <v>2036.8457714639401</v>
      </c>
      <c r="E212" s="1">
        <f t="shared" si="18"/>
        <v>299199.3108011203</v>
      </c>
    </row>
    <row r="213" spans="1:5">
      <c r="A213">
        <f t="shared" si="15"/>
        <v>200</v>
      </c>
      <c r="B213" s="1">
        <f t="shared" si="19"/>
        <v>8364.4006899346277</v>
      </c>
      <c r="C213" s="1">
        <f t="shared" si="16"/>
        <v>6369.7386179271589</v>
      </c>
      <c r="D213" s="1">
        <f t="shared" si="17"/>
        <v>1994.6620720074689</v>
      </c>
      <c r="E213" s="1">
        <f t="shared" si="18"/>
        <v>292829.57218319312</v>
      </c>
    </row>
    <row r="214" spans="1:5">
      <c r="A214">
        <f t="shared" si="15"/>
        <v>201</v>
      </c>
      <c r="B214" s="1">
        <f t="shared" si="19"/>
        <v>8364.4006899346277</v>
      </c>
      <c r="C214" s="1">
        <f t="shared" si="16"/>
        <v>6412.2035420466736</v>
      </c>
      <c r="D214" s="1">
        <f t="shared" si="17"/>
        <v>1952.1971478879543</v>
      </c>
      <c r="E214" s="1">
        <f t="shared" si="18"/>
        <v>286417.36864114646</v>
      </c>
    </row>
    <row r="215" spans="1:5">
      <c r="A215">
        <f t="shared" si="15"/>
        <v>202</v>
      </c>
      <c r="B215" s="1">
        <f t="shared" si="19"/>
        <v>8364.4006899346277</v>
      </c>
      <c r="C215" s="1">
        <f t="shared" si="16"/>
        <v>6454.951565660318</v>
      </c>
      <c r="D215" s="1">
        <f t="shared" si="17"/>
        <v>1909.44912427431</v>
      </c>
      <c r="E215" s="1">
        <f t="shared" si="18"/>
        <v>279962.41707548616</v>
      </c>
    </row>
    <row r="216" spans="1:5">
      <c r="A216">
        <f t="shared" si="15"/>
        <v>203</v>
      </c>
      <c r="B216" s="1">
        <f t="shared" si="19"/>
        <v>8364.4006899346277</v>
      </c>
      <c r="C216" s="1">
        <f t="shared" si="16"/>
        <v>6497.9845760980534</v>
      </c>
      <c r="D216" s="1">
        <f t="shared" si="17"/>
        <v>1866.4161138365746</v>
      </c>
      <c r="E216" s="1">
        <f t="shared" si="18"/>
        <v>273464.43249938812</v>
      </c>
    </row>
    <row r="217" spans="1:5">
      <c r="A217">
        <f t="shared" si="15"/>
        <v>204</v>
      </c>
      <c r="B217" s="1">
        <f t="shared" si="19"/>
        <v>8364.4006899346277</v>
      </c>
      <c r="C217" s="1">
        <f t="shared" si="16"/>
        <v>6541.30447327204</v>
      </c>
      <c r="D217" s="1">
        <f t="shared" si="17"/>
        <v>1823.0962166625875</v>
      </c>
      <c r="E217" s="1">
        <f t="shared" si="18"/>
        <v>266923.12802611606</v>
      </c>
    </row>
    <row r="218" spans="1:5">
      <c r="A218">
        <f t="shared" si="15"/>
        <v>205</v>
      </c>
      <c r="B218" s="1">
        <f t="shared" si="19"/>
        <v>8364.4006899346277</v>
      </c>
      <c r="C218" s="1">
        <f t="shared" si="16"/>
        <v>6584.9131697605208</v>
      </c>
      <c r="D218" s="1">
        <f t="shared" si="17"/>
        <v>1779.4875201741072</v>
      </c>
      <c r="E218" s="1">
        <f t="shared" si="18"/>
        <v>260338.21485635554</v>
      </c>
    </row>
    <row r="219" spans="1:5">
      <c r="A219">
        <f t="shared" si="15"/>
        <v>206</v>
      </c>
      <c r="B219" s="1">
        <f t="shared" si="19"/>
        <v>8364.4006899346277</v>
      </c>
      <c r="C219" s="1">
        <f t="shared" si="16"/>
        <v>6628.8125908922575</v>
      </c>
      <c r="D219" s="1">
        <f t="shared" si="17"/>
        <v>1735.5880990423705</v>
      </c>
      <c r="E219" s="1">
        <f t="shared" si="18"/>
        <v>253709.40226546329</v>
      </c>
    </row>
    <row r="220" spans="1:5">
      <c r="A220">
        <f t="shared" si="15"/>
        <v>207</v>
      </c>
      <c r="B220" s="1">
        <f t="shared" si="19"/>
        <v>8364.4006899346277</v>
      </c>
      <c r="C220" s="1">
        <f t="shared" si="16"/>
        <v>6673.004674831539</v>
      </c>
      <c r="D220" s="1">
        <f t="shared" si="17"/>
        <v>1691.3960151030888</v>
      </c>
      <c r="E220" s="1">
        <f t="shared" si="18"/>
        <v>247036.39759063174</v>
      </c>
    </row>
    <row r="221" spans="1:5">
      <c r="A221">
        <f t="shared" si="15"/>
        <v>208</v>
      </c>
      <c r="B221" s="1">
        <f t="shared" si="19"/>
        <v>8364.4006899346277</v>
      </c>
      <c r="C221" s="1">
        <f t="shared" si="16"/>
        <v>6717.4913726637496</v>
      </c>
      <c r="D221" s="1">
        <f t="shared" si="17"/>
        <v>1646.9093172708783</v>
      </c>
      <c r="E221" s="1">
        <f t="shared" si="18"/>
        <v>240318.90621796797</v>
      </c>
    </row>
    <row r="222" spans="1:5">
      <c r="A222">
        <f t="shared" si="15"/>
        <v>209</v>
      </c>
      <c r="B222" s="1">
        <f t="shared" si="19"/>
        <v>8364.4006899346277</v>
      </c>
      <c r="C222" s="1">
        <f t="shared" si="16"/>
        <v>6762.2746484815079</v>
      </c>
      <c r="D222" s="1">
        <f t="shared" si="17"/>
        <v>1602.12604145312</v>
      </c>
      <c r="E222" s="1">
        <f t="shared" si="18"/>
        <v>233556.63156948646</v>
      </c>
    </row>
    <row r="223" spans="1:5">
      <c r="A223">
        <f t="shared" si="15"/>
        <v>210</v>
      </c>
      <c r="B223" s="1">
        <f t="shared" si="19"/>
        <v>8364.4006899346277</v>
      </c>
      <c r="C223" s="1">
        <f t="shared" si="16"/>
        <v>6807.3564794713848</v>
      </c>
      <c r="D223" s="1">
        <f t="shared" si="17"/>
        <v>1557.0442104632432</v>
      </c>
      <c r="E223" s="1">
        <f t="shared" si="18"/>
        <v>226749.27509001509</v>
      </c>
    </row>
    <row r="224" spans="1:5">
      <c r="A224">
        <f t="shared" si="15"/>
        <v>211</v>
      </c>
      <c r="B224" s="1">
        <f t="shared" si="19"/>
        <v>8364.4006899346277</v>
      </c>
      <c r="C224" s="1">
        <f t="shared" si="16"/>
        <v>6852.7388560011932</v>
      </c>
      <c r="D224" s="1">
        <f t="shared" si="17"/>
        <v>1511.6618339334341</v>
      </c>
      <c r="E224" s="1">
        <f t="shared" si="18"/>
        <v>219896.53623401388</v>
      </c>
    </row>
    <row r="225" spans="1:5">
      <c r="A225">
        <f t="shared" si="15"/>
        <v>212</v>
      </c>
      <c r="B225" s="1">
        <f t="shared" si="19"/>
        <v>8364.4006899346277</v>
      </c>
      <c r="C225" s="1">
        <f t="shared" si="16"/>
        <v>6898.4237817078683</v>
      </c>
      <c r="D225" s="1">
        <f t="shared" si="17"/>
        <v>1465.9769082267594</v>
      </c>
      <c r="E225" s="1">
        <f t="shared" si="18"/>
        <v>212998.11245230603</v>
      </c>
    </row>
    <row r="226" spans="1:5">
      <c r="A226">
        <f t="shared" si="15"/>
        <v>213</v>
      </c>
      <c r="B226" s="1">
        <f t="shared" si="19"/>
        <v>8364.4006899346277</v>
      </c>
      <c r="C226" s="1">
        <f t="shared" si="16"/>
        <v>6944.4132735859203</v>
      </c>
      <c r="D226" s="1">
        <f t="shared" si="17"/>
        <v>1419.987416348707</v>
      </c>
      <c r="E226" s="1">
        <f t="shared" si="18"/>
        <v>206053.6991787201</v>
      </c>
    </row>
    <row r="227" spans="1:5">
      <c r="A227">
        <f t="shared" si="15"/>
        <v>214</v>
      </c>
      <c r="B227" s="1">
        <f t="shared" si="19"/>
        <v>8364.4006899346277</v>
      </c>
      <c r="C227" s="1">
        <f t="shared" si="16"/>
        <v>6990.7093620764936</v>
      </c>
      <c r="D227" s="1">
        <f t="shared" si="17"/>
        <v>1373.6913278581342</v>
      </c>
      <c r="E227" s="1">
        <f t="shared" si="18"/>
        <v>199062.98981664359</v>
      </c>
    </row>
    <row r="228" spans="1:5">
      <c r="A228">
        <f t="shared" si="15"/>
        <v>215</v>
      </c>
      <c r="B228" s="1">
        <f t="shared" si="19"/>
        <v>8364.4006899346277</v>
      </c>
      <c r="C228" s="1">
        <f t="shared" si="16"/>
        <v>7037.3140911570035</v>
      </c>
      <c r="D228" s="1">
        <f t="shared" si="17"/>
        <v>1327.086598777624</v>
      </c>
      <c r="E228" s="1">
        <f t="shared" si="18"/>
        <v>192025.6757254866</v>
      </c>
    </row>
    <row r="229" spans="1:5">
      <c r="A229">
        <f t="shared" si="15"/>
        <v>216</v>
      </c>
      <c r="B229" s="1">
        <f t="shared" si="19"/>
        <v>8364.4006899346277</v>
      </c>
      <c r="C229" s="1">
        <f t="shared" si="16"/>
        <v>7084.2295184313834</v>
      </c>
      <c r="D229" s="1">
        <f t="shared" si="17"/>
        <v>1280.1711715032441</v>
      </c>
      <c r="E229" s="1">
        <f t="shared" si="18"/>
        <v>184941.44620705521</v>
      </c>
    </row>
    <row r="230" spans="1:5">
      <c r="A230">
        <f t="shared" si="15"/>
        <v>217</v>
      </c>
      <c r="B230" s="1">
        <f t="shared" si="19"/>
        <v>8364.4006899346277</v>
      </c>
      <c r="C230" s="1">
        <f t="shared" si="16"/>
        <v>7131.4577152209258</v>
      </c>
      <c r="D230" s="1">
        <f t="shared" si="17"/>
        <v>1232.9429747137015</v>
      </c>
      <c r="E230" s="1">
        <f t="shared" si="18"/>
        <v>177809.98849183429</v>
      </c>
    </row>
    <row r="231" spans="1:5">
      <c r="A231">
        <f t="shared" si="15"/>
        <v>218</v>
      </c>
      <c r="B231" s="1">
        <f t="shared" si="19"/>
        <v>8364.4006899346277</v>
      </c>
      <c r="C231" s="1">
        <f t="shared" si="16"/>
        <v>7179.0007666557321</v>
      </c>
      <c r="D231" s="1">
        <f t="shared" si="17"/>
        <v>1185.3999232788954</v>
      </c>
      <c r="E231" s="1">
        <f t="shared" si="18"/>
        <v>170630.98772517857</v>
      </c>
    </row>
    <row r="232" spans="1:5">
      <c r="A232">
        <f t="shared" si="15"/>
        <v>219</v>
      </c>
      <c r="B232" s="1">
        <f t="shared" si="19"/>
        <v>8364.4006899346277</v>
      </c>
      <c r="C232" s="1">
        <f t="shared" si="16"/>
        <v>7226.860771766771</v>
      </c>
      <c r="D232" s="1">
        <f t="shared" si="17"/>
        <v>1137.5399181678572</v>
      </c>
      <c r="E232" s="1">
        <f t="shared" si="18"/>
        <v>163404.12695341179</v>
      </c>
    </row>
    <row r="233" spans="1:5">
      <c r="A233">
        <f t="shared" si="15"/>
        <v>220</v>
      </c>
      <c r="B233" s="1">
        <f t="shared" si="19"/>
        <v>8364.4006899346277</v>
      </c>
      <c r="C233" s="1">
        <f t="shared" si="16"/>
        <v>7275.0398435785492</v>
      </c>
      <c r="D233" s="1">
        <f t="shared" si="17"/>
        <v>1089.3608463560786</v>
      </c>
      <c r="E233" s="1">
        <f t="shared" si="18"/>
        <v>156129.08710983323</v>
      </c>
    </row>
    <row r="234" spans="1:5">
      <c r="A234">
        <f t="shared" si="15"/>
        <v>221</v>
      </c>
      <c r="B234" s="1">
        <f t="shared" si="19"/>
        <v>8364.4006899346277</v>
      </c>
      <c r="C234" s="1">
        <f t="shared" si="16"/>
        <v>7323.5401092024058</v>
      </c>
      <c r="D234" s="1">
        <f t="shared" si="17"/>
        <v>1040.8605807322215</v>
      </c>
      <c r="E234" s="1">
        <f t="shared" si="18"/>
        <v>148805.54700063082</v>
      </c>
    </row>
    <row r="235" spans="1:5">
      <c r="A235">
        <f t="shared" si="15"/>
        <v>222</v>
      </c>
      <c r="B235" s="1">
        <f t="shared" si="19"/>
        <v>8364.4006899346277</v>
      </c>
      <c r="C235" s="1">
        <f t="shared" si="16"/>
        <v>7372.3637099304224</v>
      </c>
      <c r="D235" s="1">
        <f t="shared" si="17"/>
        <v>992.03698000420547</v>
      </c>
      <c r="E235" s="1">
        <f t="shared" si="18"/>
        <v>141433.1832907004</v>
      </c>
    </row>
    <row r="236" spans="1:5">
      <c r="A236">
        <f t="shared" si="15"/>
        <v>223</v>
      </c>
      <c r="B236" s="1">
        <f t="shared" si="19"/>
        <v>8364.4006899346277</v>
      </c>
      <c r="C236" s="1">
        <f t="shared" si="16"/>
        <v>7421.5128013299582</v>
      </c>
      <c r="D236" s="1">
        <f t="shared" si="17"/>
        <v>942.88788860466934</v>
      </c>
      <c r="E236" s="1">
        <f t="shared" si="18"/>
        <v>134011.67048937044</v>
      </c>
    </row>
    <row r="237" spans="1:5">
      <c r="A237">
        <f t="shared" si="15"/>
        <v>224</v>
      </c>
      <c r="B237" s="1">
        <f t="shared" si="19"/>
        <v>8364.4006899346277</v>
      </c>
      <c r="C237" s="1">
        <f t="shared" si="16"/>
        <v>7470.9895533388244</v>
      </c>
      <c r="D237" s="1">
        <f t="shared" si="17"/>
        <v>893.41113659580299</v>
      </c>
      <c r="E237" s="1">
        <f t="shared" si="18"/>
        <v>126540.68093603163</v>
      </c>
    </row>
    <row r="238" spans="1:5">
      <c r="A238">
        <f t="shared" si="15"/>
        <v>225</v>
      </c>
      <c r="B238" s="1">
        <f t="shared" si="19"/>
        <v>8364.4006899346277</v>
      </c>
      <c r="C238" s="1">
        <f t="shared" si="16"/>
        <v>7520.7961503610832</v>
      </c>
      <c r="D238" s="1">
        <f t="shared" si="17"/>
        <v>843.60453957354423</v>
      </c>
      <c r="E238" s="1">
        <f t="shared" si="18"/>
        <v>119019.88478567054</v>
      </c>
    </row>
    <row r="239" spans="1:5">
      <c r="A239">
        <f t="shared" si="15"/>
        <v>226</v>
      </c>
      <c r="B239" s="1">
        <f t="shared" si="19"/>
        <v>8364.4006899346277</v>
      </c>
      <c r="C239" s="1">
        <f t="shared" si="16"/>
        <v>7570.9347913634911</v>
      </c>
      <c r="D239" s="1">
        <f t="shared" si="17"/>
        <v>793.46589857113702</v>
      </c>
      <c r="E239" s="1">
        <f t="shared" si="18"/>
        <v>111448.94999430706</v>
      </c>
    </row>
    <row r="240" spans="1:5">
      <c r="A240">
        <f t="shared" si="15"/>
        <v>227</v>
      </c>
      <c r="B240" s="1">
        <f t="shared" si="19"/>
        <v>8364.4006899346277</v>
      </c>
      <c r="C240" s="1">
        <f t="shared" si="16"/>
        <v>7621.4076899725806</v>
      </c>
      <c r="D240" s="1">
        <f t="shared" si="17"/>
        <v>742.99299996204707</v>
      </c>
      <c r="E240" s="1">
        <f t="shared" si="18"/>
        <v>103827.54230433448</v>
      </c>
    </row>
    <row r="241" spans="1:5">
      <c r="A241">
        <f t="shared" si="15"/>
        <v>228</v>
      </c>
      <c r="B241" s="1">
        <f t="shared" si="19"/>
        <v>8364.4006899346277</v>
      </c>
      <c r="C241" s="1">
        <f t="shared" si="16"/>
        <v>7672.2170745723979</v>
      </c>
      <c r="D241" s="1">
        <f t="shared" si="17"/>
        <v>692.18361536222994</v>
      </c>
      <c r="E241" s="1">
        <f t="shared" si="18"/>
        <v>96155.325229762078</v>
      </c>
    </row>
    <row r="242" spans="1:5">
      <c r="A242">
        <f t="shared" si="15"/>
        <v>229</v>
      </c>
      <c r="B242" s="1">
        <f t="shared" si="19"/>
        <v>8364.4006899346277</v>
      </c>
      <c r="C242" s="1">
        <f t="shared" si="16"/>
        <v>7723.3651884028804</v>
      </c>
      <c r="D242" s="1">
        <f t="shared" si="17"/>
        <v>641.03550153174729</v>
      </c>
      <c r="E242" s="1">
        <f t="shared" si="18"/>
        <v>88431.960041359198</v>
      </c>
    </row>
    <row r="243" spans="1:5">
      <c r="A243">
        <f t="shared" ref="A243:A263" si="20">IF(($B$7*$B$8&gt;A242),IF(($B$7*$B$8)=A242,"",A242+1),"")</f>
        <v>230</v>
      </c>
      <c r="B243" s="1">
        <f t="shared" si="19"/>
        <v>8364.4006899346277</v>
      </c>
      <c r="C243" s="1">
        <f t="shared" ref="C243:C263" si="21">IF(A243="","",B243-D243)</f>
        <v>7774.8542896588997</v>
      </c>
      <c r="D243" s="1">
        <f t="shared" ref="D243:D263" si="22">IF(A243="","",(E242*($B$6/$B$8)))</f>
        <v>589.54640027572805</v>
      </c>
      <c r="E243" s="1">
        <f t="shared" ref="E243:E263" si="23">IF(A243="","",E242-C243)</f>
        <v>80657.105751700292</v>
      </c>
    </row>
    <row r="244" spans="1:5">
      <c r="A244">
        <f t="shared" si="20"/>
        <v>231</v>
      </c>
      <c r="B244" s="1">
        <f t="shared" si="19"/>
        <v>8364.4006899346277</v>
      </c>
      <c r="C244" s="1">
        <f t="shared" si="21"/>
        <v>7826.6866515899592</v>
      </c>
      <c r="D244" s="1">
        <f t="shared" si="22"/>
        <v>537.71403834466867</v>
      </c>
      <c r="E244" s="1">
        <f t="shared" si="23"/>
        <v>72830.419100110332</v>
      </c>
    </row>
    <row r="245" spans="1:5">
      <c r="A245">
        <f t="shared" si="20"/>
        <v>232</v>
      </c>
      <c r="B245" s="1">
        <f t="shared" si="19"/>
        <v>8364.4006899346277</v>
      </c>
      <c r="C245" s="1">
        <f t="shared" si="21"/>
        <v>7878.8645626005591</v>
      </c>
      <c r="D245" s="1">
        <f t="shared" si="22"/>
        <v>485.53612733406891</v>
      </c>
      <c r="E245" s="1">
        <f t="shared" si="23"/>
        <v>64951.554537509772</v>
      </c>
    </row>
    <row r="246" spans="1:5">
      <c r="A246">
        <f t="shared" si="20"/>
        <v>233</v>
      </c>
      <c r="B246" s="1">
        <f t="shared" si="19"/>
        <v>8364.4006899346277</v>
      </c>
      <c r="C246" s="1">
        <f t="shared" si="21"/>
        <v>7931.3903263512293</v>
      </c>
      <c r="D246" s="1">
        <f t="shared" si="22"/>
        <v>433.01036358339849</v>
      </c>
      <c r="E246" s="1">
        <f t="shared" si="23"/>
        <v>57020.164211158539</v>
      </c>
    </row>
    <row r="247" spans="1:5">
      <c r="A247">
        <f t="shared" si="20"/>
        <v>234</v>
      </c>
      <c r="B247" s="1">
        <f t="shared" si="19"/>
        <v>8364.4006899346277</v>
      </c>
      <c r="C247" s="1">
        <f t="shared" si="21"/>
        <v>7984.2662618602371</v>
      </c>
      <c r="D247" s="1">
        <f t="shared" si="22"/>
        <v>380.13442807439026</v>
      </c>
      <c r="E247" s="1">
        <f t="shared" si="23"/>
        <v>49035.897949298305</v>
      </c>
    </row>
    <row r="248" spans="1:5">
      <c r="A248">
        <f t="shared" si="20"/>
        <v>235</v>
      </c>
      <c r="B248" s="1">
        <f t="shared" si="19"/>
        <v>8364.4006899346277</v>
      </c>
      <c r="C248" s="1">
        <f t="shared" si="21"/>
        <v>8037.4947036059721</v>
      </c>
      <c r="D248" s="1">
        <f t="shared" si="22"/>
        <v>326.90598632865539</v>
      </c>
      <c r="E248" s="1">
        <f t="shared" si="23"/>
        <v>40998.403245692331</v>
      </c>
    </row>
    <row r="249" spans="1:5">
      <c r="A249">
        <f t="shared" si="20"/>
        <v>236</v>
      </c>
      <c r="B249" s="1">
        <f t="shared" si="19"/>
        <v>8364.4006899346277</v>
      </c>
      <c r="C249" s="1">
        <f t="shared" si="21"/>
        <v>8091.0780016300123</v>
      </c>
      <c r="D249" s="1">
        <f t="shared" si="22"/>
        <v>273.32268830461555</v>
      </c>
      <c r="E249" s="1">
        <f t="shared" si="23"/>
        <v>32907.325244062318</v>
      </c>
    </row>
    <row r="250" spans="1:5">
      <c r="A250">
        <f t="shared" si="20"/>
        <v>237</v>
      </c>
      <c r="B250" s="1">
        <f t="shared" si="19"/>
        <v>8364.4006899346277</v>
      </c>
      <c r="C250" s="1">
        <f t="shared" si="21"/>
        <v>8145.018521640879</v>
      </c>
      <c r="D250" s="1">
        <f t="shared" si="22"/>
        <v>219.3821682937488</v>
      </c>
      <c r="E250" s="1">
        <f t="shared" si="23"/>
        <v>24762.306722421439</v>
      </c>
    </row>
    <row r="251" spans="1:5">
      <c r="A251">
        <f t="shared" si="20"/>
        <v>238</v>
      </c>
      <c r="B251" s="1">
        <f t="shared" si="19"/>
        <v>8364.4006899346277</v>
      </c>
      <c r="C251" s="1">
        <f t="shared" si="21"/>
        <v>8199.3186451184847</v>
      </c>
      <c r="D251" s="1">
        <f t="shared" si="22"/>
        <v>165.08204481614294</v>
      </c>
      <c r="E251" s="1">
        <f t="shared" si="23"/>
        <v>16562.988077302954</v>
      </c>
    </row>
    <row r="252" spans="1:5">
      <c r="A252">
        <f t="shared" si="20"/>
        <v>239</v>
      </c>
      <c r="B252" s="1">
        <f t="shared" si="19"/>
        <v>8364.4006899346277</v>
      </c>
      <c r="C252" s="1">
        <f t="shared" si="21"/>
        <v>8253.980769419275</v>
      </c>
      <c r="D252" s="1">
        <f t="shared" si="22"/>
        <v>110.41992051535304</v>
      </c>
      <c r="E252" s="1">
        <f t="shared" si="23"/>
        <v>8309.0073078836795</v>
      </c>
    </row>
    <row r="253" spans="1:5">
      <c r="A253">
        <f t="shared" si="20"/>
        <v>240</v>
      </c>
      <c r="B253" s="1">
        <f t="shared" si="19"/>
        <v>8364.4006899346277</v>
      </c>
      <c r="C253" s="1">
        <f t="shared" si="21"/>
        <v>8309.0073078820697</v>
      </c>
      <c r="D253" s="1">
        <f t="shared" si="22"/>
        <v>55.393382052557868</v>
      </c>
      <c r="E253" s="1">
        <f t="shared" si="23"/>
        <v>1.609805622138083E-9</v>
      </c>
    </row>
    <row r="254" spans="1:5">
      <c r="A254" t="str">
        <f t="shared" si="20"/>
        <v/>
      </c>
      <c r="B254" s="1" t="str">
        <f t="shared" si="19"/>
        <v/>
      </c>
      <c r="C254" s="1" t="str">
        <f t="shared" si="21"/>
        <v/>
      </c>
      <c r="D254" s="1" t="str">
        <f t="shared" si="22"/>
        <v/>
      </c>
      <c r="E254" s="1" t="str">
        <f t="shared" si="23"/>
        <v/>
      </c>
    </row>
    <row r="255" spans="1:5">
      <c r="A255" t="str">
        <f t="shared" si="20"/>
        <v/>
      </c>
      <c r="B255" s="1" t="str">
        <f t="shared" si="19"/>
        <v/>
      </c>
      <c r="C255" s="1" t="str">
        <f t="shared" si="21"/>
        <v/>
      </c>
      <c r="D255" s="1" t="str">
        <f t="shared" si="22"/>
        <v/>
      </c>
      <c r="E255" s="1" t="str">
        <f t="shared" si="23"/>
        <v/>
      </c>
    </row>
    <row r="256" spans="1:5">
      <c r="A256" t="str">
        <f t="shared" si="20"/>
        <v/>
      </c>
      <c r="B256" s="1" t="str">
        <f t="shared" si="19"/>
        <v/>
      </c>
      <c r="C256" s="1" t="str">
        <f t="shared" si="21"/>
        <v/>
      </c>
      <c r="D256" s="1" t="str">
        <f t="shared" si="22"/>
        <v/>
      </c>
      <c r="E256" s="1" t="str">
        <f t="shared" si="23"/>
        <v/>
      </c>
    </row>
    <row r="257" spans="1:5">
      <c r="A257" t="str">
        <f t="shared" si="20"/>
        <v/>
      </c>
      <c r="B257" s="1" t="str">
        <f t="shared" si="19"/>
        <v/>
      </c>
      <c r="C257" s="1" t="str">
        <f t="shared" si="21"/>
        <v/>
      </c>
      <c r="D257" s="1" t="str">
        <f t="shared" si="22"/>
        <v/>
      </c>
      <c r="E257" s="1" t="str">
        <f t="shared" si="23"/>
        <v/>
      </c>
    </row>
    <row r="258" spans="1:5">
      <c r="A258" t="str">
        <f t="shared" si="20"/>
        <v/>
      </c>
      <c r="B258" s="1" t="str">
        <f t="shared" si="19"/>
        <v/>
      </c>
      <c r="C258" s="1" t="str">
        <f t="shared" si="21"/>
        <v/>
      </c>
      <c r="D258" s="1" t="str">
        <f t="shared" si="22"/>
        <v/>
      </c>
      <c r="E258" s="1" t="str">
        <f t="shared" si="23"/>
        <v/>
      </c>
    </row>
    <row r="259" spans="1:5">
      <c r="A259" t="str">
        <f t="shared" si="20"/>
        <v/>
      </c>
      <c r="B259" s="1" t="str">
        <f t="shared" si="19"/>
        <v/>
      </c>
      <c r="C259" s="1" t="str">
        <f t="shared" si="21"/>
        <v/>
      </c>
      <c r="D259" s="1" t="str">
        <f t="shared" si="22"/>
        <v/>
      </c>
      <c r="E259" s="1" t="str">
        <f t="shared" si="23"/>
        <v/>
      </c>
    </row>
    <row r="260" spans="1:5">
      <c r="A260" t="str">
        <f t="shared" si="20"/>
        <v/>
      </c>
      <c r="B260" s="1" t="str">
        <f t="shared" si="19"/>
        <v/>
      </c>
      <c r="C260" s="1" t="str">
        <f t="shared" si="21"/>
        <v/>
      </c>
      <c r="D260" s="1" t="str">
        <f t="shared" si="22"/>
        <v/>
      </c>
      <c r="E260" s="1" t="str">
        <f t="shared" si="23"/>
        <v/>
      </c>
    </row>
    <row r="261" spans="1:5">
      <c r="A261" t="str">
        <f t="shared" si="20"/>
        <v/>
      </c>
      <c r="B261" s="1" t="str">
        <f t="shared" si="19"/>
        <v/>
      </c>
      <c r="C261" s="1" t="str">
        <f t="shared" si="21"/>
        <v/>
      </c>
      <c r="D261" s="1" t="str">
        <f t="shared" si="22"/>
        <v/>
      </c>
      <c r="E261" s="1" t="str">
        <f t="shared" si="23"/>
        <v/>
      </c>
    </row>
    <row r="262" spans="1:5">
      <c r="A262" t="str">
        <f t="shared" si="20"/>
        <v/>
      </c>
      <c r="B262" s="1" t="str">
        <f t="shared" si="19"/>
        <v/>
      </c>
      <c r="C262" s="1" t="str">
        <f t="shared" si="21"/>
        <v/>
      </c>
      <c r="D262" s="1" t="str">
        <f t="shared" si="22"/>
        <v/>
      </c>
      <c r="E262" s="1" t="str">
        <f t="shared" si="23"/>
        <v/>
      </c>
    </row>
    <row r="263" spans="1:5">
      <c r="A263" t="str">
        <f t="shared" si="20"/>
        <v/>
      </c>
      <c r="B263" s="1" t="str">
        <f t="shared" si="19"/>
        <v/>
      </c>
      <c r="C263" s="1" t="str">
        <f t="shared" si="21"/>
        <v/>
      </c>
      <c r="D263" s="1" t="str">
        <f t="shared" si="22"/>
        <v/>
      </c>
      <c r="E263" s="1" t="str">
        <f t="shared" si="23"/>
        <v/>
      </c>
    </row>
    <row r="264" spans="1:5">
      <c r="A264" t="str">
        <f t="shared" ref="A264:A327" si="24">IF(($B$7*$B$8&gt;A263),IF(($B$7*$B$8)=A263,"",A263+1),"")</f>
        <v/>
      </c>
      <c r="B264" s="1" t="str">
        <f t="shared" si="19"/>
        <v/>
      </c>
      <c r="C264" s="1" t="str">
        <f t="shared" ref="C264:C327" si="25">IF(A264="","",B264-D264)</f>
        <v/>
      </c>
      <c r="D264" s="1" t="str">
        <f t="shared" ref="D264:D327" si="26">IF(A264="","",(E263*($B$6/$B$8)))</f>
        <v/>
      </c>
      <c r="E264" s="1" t="str">
        <f t="shared" ref="E264:E327" si="27">IF(A264="","",E263-C264)</f>
        <v/>
      </c>
    </row>
    <row r="265" spans="1:5">
      <c r="A265" t="str">
        <f t="shared" si="24"/>
        <v/>
      </c>
      <c r="B265" s="1" t="str">
        <f t="shared" si="19"/>
        <v/>
      </c>
      <c r="C265" s="1" t="str">
        <f t="shared" si="25"/>
        <v/>
      </c>
      <c r="D265" s="1" t="str">
        <f t="shared" si="26"/>
        <v/>
      </c>
      <c r="E265" s="1" t="str">
        <f t="shared" si="27"/>
        <v/>
      </c>
    </row>
    <row r="266" spans="1:5">
      <c r="A266" t="str">
        <f t="shared" si="24"/>
        <v/>
      </c>
      <c r="B266" s="1" t="str">
        <f t="shared" si="19"/>
        <v/>
      </c>
      <c r="C266" s="1" t="str">
        <f t="shared" si="25"/>
        <v/>
      </c>
      <c r="D266" s="1" t="str">
        <f t="shared" si="26"/>
        <v/>
      </c>
      <c r="E266" s="1" t="str">
        <f t="shared" si="27"/>
        <v/>
      </c>
    </row>
    <row r="267" spans="1:5">
      <c r="A267" t="str">
        <f t="shared" si="24"/>
        <v/>
      </c>
      <c r="B267" s="1" t="str">
        <f t="shared" si="19"/>
        <v/>
      </c>
      <c r="C267" s="1" t="str">
        <f t="shared" si="25"/>
        <v/>
      </c>
      <c r="D267" s="1" t="str">
        <f t="shared" si="26"/>
        <v/>
      </c>
      <c r="E267" s="1" t="str">
        <f t="shared" si="27"/>
        <v/>
      </c>
    </row>
    <row r="268" spans="1:5">
      <c r="A268" t="str">
        <f t="shared" si="24"/>
        <v/>
      </c>
      <c r="B268" s="1" t="str">
        <f t="shared" si="19"/>
        <v/>
      </c>
      <c r="C268" s="1" t="str">
        <f t="shared" si="25"/>
        <v/>
      </c>
      <c r="D268" s="1" t="str">
        <f t="shared" si="26"/>
        <v/>
      </c>
      <c r="E268" s="1" t="str">
        <f t="shared" si="27"/>
        <v/>
      </c>
    </row>
    <row r="269" spans="1:5">
      <c r="A269" t="str">
        <f t="shared" si="24"/>
        <v/>
      </c>
      <c r="B269" s="1" t="str">
        <f t="shared" si="19"/>
        <v/>
      </c>
      <c r="C269" s="1" t="str">
        <f t="shared" si="25"/>
        <v/>
      </c>
      <c r="D269" s="1" t="str">
        <f t="shared" si="26"/>
        <v/>
      </c>
      <c r="E269" s="1" t="str">
        <f t="shared" si="27"/>
        <v/>
      </c>
    </row>
    <row r="270" spans="1:5">
      <c r="A270" t="str">
        <f t="shared" si="24"/>
        <v/>
      </c>
      <c r="B270" s="1" t="str">
        <f t="shared" si="19"/>
        <v/>
      </c>
      <c r="C270" s="1" t="str">
        <f t="shared" si="25"/>
        <v/>
      </c>
      <c r="D270" s="1" t="str">
        <f t="shared" si="26"/>
        <v/>
      </c>
      <c r="E270" s="1" t="str">
        <f t="shared" si="27"/>
        <v/>
      </c>
    </row>
    <row r="271" spans="1:5">
      <c r="A271" t="str">
        <f t="shared" si="24"/>
        <v/>
      </c>
      <c r="B271" s="1" t="str">
        <f t="shared" si="19"/>
        <v/>
      </c>
      <c r="C271" s="1" t="str">
        <f t="shared" si="25"/>
        <v/>
      </c>
      <c r="D271" s="1" t="str">
        <f t="shared" si="26"/>
        <v/>
      </c>
      <c r="E271" s="1" t="str">
        <f t="shared" si="27"/>
        <v/>
      </c>
    </row>
    <row r="272" spans="1:5">
      <c r="A272" t="str">
        <f t="shared" si="24"/>
        <v/>
      </c>
      <c r="B272" s="1" t="str">
        <f t="shared" ref="B272:B335" si="28">IF(A272="","",$B$14)</f>
        <v/>
      </c>
      <c r="C272" s="1" t="str">
        <f t="shared" si="25"/>
        <v/>
      </c>
      <c r="D272" s="1" t="str">
        <f t="shared" si="26"/>
        <v/>
      </c>
      <c r="E272" s="1" t="str">
        <f t="shared" si="27"/>
        <v/>
      </c>
    </row>
    <row r="273" spans="1:5">
      <c r="A273" t="str">
        <f t="shared" si="24"/>
        <v/>
      </c>
      <c r="B273" s="1" t="str">
        <f t="shared" si="28"/>
        <v/>
      </c>
      <c r="C273" s="1" t="str">
        <f t="shared" si="25"/>
        <v/>
      </c>
      <c r="D273" s="1" t="str">
        <f t="shared" si="26"/>
        <v/>
      </c>
      <c r="E273" s="1" t="str">
        <f t="shared" si="27"/>
        <v/>
      </c>
    </row>
    <row r="274" spans="1:5">
      <c r="A274" t="str">
        <f t="shared" si="24"/>
        <v/>
      </c>
      <c r="B274" s="1" t="str">
        <f t="shared" si="28"/>
        <v/>
      </c>
      <c r="C274" s="1" t="str">
        <f t="shared" si="25"/>
        <v/>
      </c>
      <c r="D274" s="1" t="str">
        <f t="shared" si="26"/>
        <v/>
      </c>
      <c r="E274" s="1" t="str">
        <f t="shared" si="27"/>
        <v/>
      </c>
    </row>
    <row r="275" spans="1:5">
      <c r="A275" t="str">
        <f t="shared" si="24"/>
        <v/>
      </c>
      <c r="B275" s="1" t="str">
        <f t="shared" si="28"/>
        <v/>
      </c>
      <c r="C275" s="1" t="str">
        <f t="shared" si="25"/>
        <v/>
      </c>
      <c r="D275" s="1" t="str">
        <f t="shared" si="26"/>
        <v/>
      </c>
      <c r="E275" s="1" t="str">
        <f t="shared" si="27"/>
        <v/>
      </c>
    </row>
    <row r="276" spans="1:5">
      <c r="A276" t="str">
        <f t="shared" si="24"/>
        <v/>
      </c>
      <c r="B276" s="1" t="str">
        <f t="shared" si="28"/>
        <v/>
      </c>
      <c r="C276" s="1" t="str">
        <f t="shared" si="25"/>
        <v/>
      </c>
      <c r="D276" s="1" t="str">
        <f t="shared" si="26"/>
        <v/>
      </c>
      <c r="E276" s="1" t="str">
        <f t="shared" si="27"/>
        <v/>
      </c>
    </row>
    <row r="277" spans="1:5">
      <c r="A277" t="str">
        <f t="shared" si="24"/>
        <v/>
      </c>
      <c r="B277" s="1" t="str">
        <f t="shared" si="28"/>
        <v/>
      </c>
      <c r="C277" s="1" t="str">
        <f t="shared" si="25"/>
        <v/>
      </c>
      <c r="D277" s="1" t="str">
        <f t="shared" si="26"/>
        <v/>
      </c>
      <c r="E277" s="1" t="str">
        <f t="shared" si="27"/>
        <v/>
      </c>
    </row>
    <row r="278" spans="1:5">
      <c r="A278" t="str">
        <f t="shared" si="24"/>
        <v/>
      </c>
      <c r="B278" s="1" t="str">
        <f t="shared" si="28"/>
        <v/>
      </c>
      <c r="C278" s="1" t="str">
        <f t="shared" si="25"/>
        <v/>
      </c>
      <c r="D278" s="1" t="str">
        <f t="shared" si="26"/>
        <v/>
      </c>
      <c r="E278" s="1" t="str">
        <f t="shared" si="27"/>
        <v/>
      </c>
    </row>
    <row r="279" spans="1:5">
      <c r="A279" t="str">
        <f t="shared" si="24"/>
        <v/>
      </c>
      <c r="B279" s="1" t="str">
        <f t="shared" si="28"/>
        <v/>
      </c>
      <c r="C279" s="1" t="str">
        <f t="shared" si="25"/>
        <v/>
      </c>
      <c r="D279" s="1" t="str">
        <f t="shared" si="26"/>
        <v/>
      </c>
      <c r="E279" s="1" t="str">
        <f t="shared" si="27"/>
        <v/>
      </c>
    </row>
    <row r="280" spans="1:5">
      <c r="A280" t="str">
        <f t="shared" si="24"/>
        <v/>
      </c>
      <c r="B280" s="1" t="str">
        <f t="shared" si="28"/>
        <v/>
      </c>
      <c r="C280" s="1" t="str">
        <f t="shared" si="25"/>
        <v/>
      </c>
      <c r="D280" s="1" t="str">
        <f t="shared" si="26"/>
        <v/>
      </c>
      <c r="E280" s="1" t="str">
        <f t="shared" si="27"/>
        <v/>
      </c>
    </row>
    <row r="281" spans="1:5">
      <c r="A281" t="str">
        <f t="shared" si="24"/>
        <v/>
      </c>
      <c r="B281" s="1" t="str">
        <f t="shared" si="28"/>
        <v/>
      </c>
      <c r="C281" s="1" t="str">
        <f t="shared" si="25"/>
        <v/>
      </c>
      <c r="D281" s="1" t="str">
        <f t="shared" si="26"/>
        <v/>
      </c>
      <c r="E281" s="1" t="str">
        <f t="shared" si="27"/>
        <v/>
      </c>
    </row>
    <row r="282" spans="1:5">
      <c r="A282" t="str">
        <f t="shared" si="24"/>
        <v/>
      </c>
      <c r="B282" s="1" t="str">
        <f t="shared" si="28"/>
        <v/>
      </c>
      <c r="C282" s="1" t="str">
        <f t="shared" si="25"/>
        <v/>
      </c>
      <c r="D282" s="1" t="str">
        <f t="shared" si="26"/>
        <v/>
      </c>
      <c r="E282" s="1" t="str">
        <f t="shared" si="27"/>
        <v/>
      </c>
    </row>
    <row r="283" spans="1:5">
      <c r="A283" t="str">
        <f t="shared" si="24"/>
        <v/>
      </c>
      <c r="B283" s="1" t="str">
        <f t="shared" si="28"/>
        <v/>
      </c>
      <c r="C283" s="1" t="str">
        <f t="shared" si="25"/>
        <v/>
      </c>
      <c r="D283" s="1" t="str">
        <f t="shared" si="26"/>
        <v/>
      </c>
      <c r="E283" s="1" t="str">
        <f t="shared" si="27"/>
        <v/>
      </c>
    </row>
    <row r="284" spans="1:5">
      <c r="A284" t="str">
        <f t="shared" si="24"/>
        <v/>
      </c>
      <c r="B284" s="1" t="str">
        <f t="shared" si="28"/>
        <v/>
      </c>
      <c r="C284" s="1" t="str">
        <f t="shared" si="25"/>
        <v/>
      </c>
      <c r="D284" s="1" t="str">
        <f t="shared" si="26"/>
        <v/>
      </c>
      <c r="E284" s="1" t="str">
        <f t="shared" si="27"/>
        <v/>
      </c>
    </row>
    <row r="285" spans="1:5">
      <c r="A285" t="str">
        <f t="shared" si="24"/>
        <v/>
      </c>
      <c r="B285" s="1" t="str">
        <f t="shared" si="28"/>
        <v/>
      </c>
      <c r="C285" s="1" t="str">
        <f t="shared" si="25"/>
        <v/>
      </c>
      <c r="D285" s="1" t="str">
        <f t="shared" si="26"/>
        <v/>
      </c>
      <c r="E285" s="1" t="str">
        <f t="shared" si="27"/>
        <v/>
      </c>
    </row>
    <row r="286" spans="1:5">
      <c r="A286" t="str">
        <f t="shared" si="24"/>
        <v/>
      </c>
      <c r="B286" s="1" t="str">
        <f t="shared" si="28"/>
        <v/>
      </c>
      <c r="C286" s="1" t="str">
        <f t="shared" si="25"/>
        <v/>
      </c>
      <c r="D286" s="1" t="str">
        <f t="shared" si="26"/>
        <v/>
      </c>
      <c r="E286" s="1" t="str">
        <f t="shared" si="27"/>
        <v/>
      </c>
    </row>
    <row r="287" spans="1:5">
      <c r="A287" t="str">
        <f t="shared" si="24"/>
        <v/>
      </c>
      <c r="B287" s="1" t="str">
        <f t="shared" si="28"/>
        <v/>
      </c>
      <c r="C287" s="1" t="str">
        <f t="shared" si="25"/>
        <v/>
      </c>
      <c r="D287" s="1" t="str">
        <f t="shared" si="26"/>
        <v/>
      </c>
      <c r="E287" s="1" t="str">
        <f t="shared" si="27"/>
        <v/>
      </c>
    </row>
    <row r="288" spans="1:5">
      <c r="A288" t="str">
        <f t="shared" si="24"/>
        <v/>
      </c>
      <c r="B288" s="1" t="str">
        <f t="shared" si="28"/>
        <v/>
      </c>
      <c r="C288" s="1" t="str">
        <f t="shared" si="25"/>
        <v/>
      </c>
      <c r="D288" s="1" t="str">
        <f t="shared" si="26"/>
        <v/>
      </c>
      <c r="E288" s="1" t="str">
        <f t="shared" si="27"/>
        <v/>
      </c>
    </row>
    <row r="289" spans="1:5">
      <c r="A289" t="str">
        <f t="shared" si="24"/>
        <v/>
      </c>
      <c r="B289" s="1" t="str">
        <f t="shared" si="28"/>
        <v/>
      </c>
      <c r="C289" s="1" t="str">
        <f t="shared" si="25"/>
        <v/>
      </c>
      <c r="D289" s="1" t="str">
        <f t="shared" si="26"/>
        <v/>
      </c>
      <c r="E289" s="1" t="str">
        <f t="shared" si="27"/>
        <v/>
      </c>
    </row>
    <row r="290" spans="1:5">
      <c r="A290" t="str">
        <f t="shared" si="24"/>
        <v/>
      </c>
      <c r="B290" s="1" t="str">
        <f t="shared" si="28"/>
        <v/>
      </c>
      <c r="C290" s="1" t="str">
        <f t="shared" si="25"/>
        <v/>
      </c>
      <c r="D290" s="1" t="str">
        <f t="shared" si="26"/>
        <v/>
      </c>
      <c r="E290" s="1" t="str">
        <f t="shared" si="27"/>
        <v/>
      </c>
    </row>
    <row r="291" spans="1:5">
      <c r="A291" t="str">
        <f t="shared" si="24"/>
        <v/>
      </c>
      <c r="B291" s="1" t="str">
        <f t="shared" si="28"/>
        <v/>
      </c>
      <c r="C291" s="1" t="str">
        <f t="shared" si="25"/>
        <v/>
      </c>
      <c r="D291" s="1" t="str">
        <f t="shared" si="26"/>
        <v/>
      </c>
      <c r="E291" s="1" t="str">
        <f t="shared" si="27"/>
        <v/>
      </c>
    </row>
    <row r="292" spans="1:5">
      <c r="A292" t="str">
        <f t="shared" si="24"/>
        <v/>
      </c>
      <c r="B292" s="1" t="str">
        <f t="shared" si="28"/>
        <v/>
      </c>
      <c r="C292" s="1" t="str">
        <f t="shared" si="25"/>
        <v/>
      </c>
      <c r="D292" s="1" t="str">
        <f t="shared" si="26"/>
        <v/>
      </c>
      <c r="E292" s="1" t="str">
        <f t="shared" si="27"/>
        <v/>
      </c>
    </row>
    <row r="293" spans="1:5">
      <c r="A293" t="str">
        <f t="shared" si="24"/>
        <v/>
      </c>
      <c r="B293" s="1" t="str">
        <f t="shared" si="28"/>
        <v/>
      </c>
      <c r="C293" s="1" t="str">
        <f t="shared" si="25"/>
        <v/>
      </c>
      <c r="D293" s="1" t="str">
        <f t="shared" si="26"/>
        <v/>
      </c>
      <c r="E293" s="1" t="str">
        <f t="shared" si="27"/>
        <v/>
      </c>
    </row>
    <row r="294" spans="1:5">
      <c r="A294" t="str">
        <f t="shared" si="24"/>
        <v/>
      </c>
      <c r="B294" s="1" t="str">
        <f t="shared" si="28"/>
        <v/>
      </c>
      <c r="C294" s="1" t="str">
        <f t="shared" si="25"/>
        <v/>
      </c>
      <c r="D294" s="1" t="str">
        <f t="shared" si="26"/>
        <v/>
      </c>
      <c r="E294" s="1" t="str">
        <f t="shared" si="27"/>
        <v/>
      </c>
    </row>
    <row r="295" spans="1:5">
      <c r="A295" t="str">
        <f t="shared" si="24"/>
        <v/>
      </c>
      <c r="B295" s="1" t="str">
        <f t="shared" si="28"/>
        <v/>
      </c>
      <c r="C295" s="1" t="str">
        <f t="shared" si="25"/>
        <v/>
      </c>
      <c r="D295" s="1" t="str">
        <f t="shared" si="26"/>
        <v/>
      </c>
      <c r="E295" s="1" t="str">
        <f t="shared" si="27"/>
        <v/>
      </c>
    </row>
    <row r="296" spans="1:5">
      <c r="A296" t="str">
        <f t="shared" si="24"/>
        <v/>
      </c>
      <c r="B296" s="1" t="str">
        <f t="shared" si="28"/>
        <v/>
      </c>
      <c r="C296" s="1" t="str">
        <f t="shared" si="25"/>
        <v/>
      </c>
      <c r="D296" s="1" t="str">
        <f t="shared" si="26"/>
        <v/>
      </c>
      <c r="E296" s="1" t="str">
        <f t="shared" si="27"/>
        <v/>
      </c>
    </row>
    <row r="297" spans="1:5">
      <c r="A297" t="str">
        <f t="shared" si="24"/>
        <v/>
      </c>
      <c r="B297" s="1" t="str">
        <f t="shared" si="28"/>
        <v/>
      </c>
      <c r="C297" s="1" t="str">
        <f t="shared" si="25"/>
        <v/>
      </c>
      <c r="D297" s="1" t="str">
        <f t="shared" si="26"/>
        <v/>
      </c>
      <c r="E297" s="1" t="str">
        <f t="shared" si="27"/>
        <v/>
      </c>
    </row>
    <row r="298" spans="1:5">
      <c r="A298" t="str">
        <f t="shared" si="24"/>
        <v/>
      </c>
      <c r="B298" s="1" t="str">
        <f t="shared" si="28"/>
        <v/>
      </c>
      <c r="C298" s="1" t="str">
        <f t="shared" si="25"/>
        <v/>
      </c>
      <c r="D298" s="1" t="str">
        <f t="shared" si="26"/>
        <v/>
      </c>
      <c r="E298" s="1" t="str">
        <f t="shared" si="27"/>
        <v/>
      </c>
    </row>
    <row r="299" spans="1:5">
      <c r="A299" t="str">
        <f t="shared" si="24"/>
        <v/>
      </c>
      <c r="B299" s="1" t="str">
        <f t="shared" si="28"/>
        <v/>
      </c>
      <c r="C299" s="1" t="str">
        <f t="shared" si="25"/>
        <v/>
      </c>
      <c r="D299" s="1" t="str">
        <f t="shared" si="26"/>
        <v/>
      </c>
      <c r="E299" s="1" t="str">
        <f t="shared" si="27"/>
        <v/>
      </c>
    </row>
    <row r="300" spans="1:5">
      <c r="A300" t="str">
        <f t="shared" si="24"/>
        <v/>
      </c>
      <c r="B300" s="1" t="str">
        <f t="shared" si="28"/>
        <v/>
      </c>
      <c r="C300" s="1" t="str">
        <f t="shared" si="25"/>
        <v/>
      </c>
      <c r="D300" s="1" t="str">
        <f t="shared" si="26"/>
        <v/>
      </c>
      <c r="E300" s="1" t="str">
        <f t="shared" si="27"/>
        <v/>
      </c>
    </row>
    <row r="301" spans="1:5">
      <c r="A301" t="str">
        <f t="shared" si="24"/>
        <v/>
      </c>
      <c r="B301" s="1" t="str">
        <f t="shared" si="28"/>
        <v/>
      </c>
      <c r="C301" s="1" t="str">
        <f t="shared" si="25"/>
        <v/>
      </c>
      <c r="D301" s="1" t="str">
        <f t="shared" si="26"/>
        <v/>
      </c>
      <c r="E301" s="1" t="str">
        <f t="shared" si="27"/>
        <v/>
      </c>
    </row>
    <row r="302" spans="1:5">
      <c r="A302" t="str">
        <f t="shared" si="24"/>
        <v/>
      </c>
      <c r="B302" s="1" t="str">
        <f t="shared" si="28"/>
        <v/>
      </c>
      <c r="C302" s="1" t="str">
        <f t="shared" si="25"/>
        <v/>
      </c>
      <c r="D302" s="1" t="str">
        <f t="shared" si="26"/>
        <v/>
      </c>
      <c r="E302" s="1" t="str">
        <f t="shared" si="27"/>
        <v/>
      </c>
    </row>
    <row r="303" spans="1:5">
      <c r="A303" t="str">
        <f t="shared" si="24"/>
        <v/>
      </c>
      <c r="B303" s="1" t="str">
        <f t="shared" si="28"/>
        <v/>
      </c>
      <c r="C303" s="1" t="str">
        <f t="shared" si="25"/>
        <v/>
      </c>
      <c r="D303" s="1" t="str">
        <f t="shared" si="26"/>
        <v/>
      </c>
      <c r="E303" s="1" t="str">
        <f t="shared" si="27"/>
        <v/>
      </c>
    </row>
    <row r="304" spans="1:5">
      <c r="A304" t="str">
        <f t="shared" si="24"/>
        <v/>
      </c>
      <c r="B304" s="1" t="str">
        <f t="shared" si="28"/>
        <v/>
      </c>
      <c r="C304" s="1" t="str">
        <f t="shared" si="25"/>
        <v/>
      </c>
      <c r="D304" s="1" t="str">
        <f t="shared" si="26"/>
        <v/>
      </c>
      <c r="E304" s="1" t="str">
        <f t="shared" si="27"/>
        <v/>
      </c>
    </row>
    <row r="305" spans="1:5">
      <c r="A305" t="str">
        <f t="shared" si="24"/>
        <v/>
      </c>
      <c r="B305" s="1" t="str">
        <f t="shared" si="28"/>
        <v/>
      </c>
      <c r="C305" s="1" t="str">
        <f t="shared" si="25"/>
        <v/>
      </c>
      <c r="D305" s="1" t="str">
        <f t="shared" si="26"/>
        <v/>
      </c>
      <c r="E305" s="1" t="str">
        <f t="shared" si="27"/>
        <v/>
      </c>
    </row>
    <row r="306" spans="1:5">
      <c r="A306" t="str">
        <f t="shared" si="24"/>
        <v/>
      </c>
      <c r="B306" s="1" t="str">
        <f t="shared" si="28"/>
        <v/>
      </c>
      <c r="C306" s="1" t="str">
        <f t="shared" si="25"/>
        <v/>
      </c>
      <c r="D306" s="1" t="str">
        <f t="shared" si="26"/>
        <v/>
      </c>
      <c r="E306" s="1" t="str">
        <f t="shared" si="27"/>
        <v/>
      </c>
    </row>
    <row r="307" spans="1:5">
      <c r="A307" t="str">
        <f t="shared" si="24"/>
        <v/>
      </c>
      <c r="B307" s="1" t="str">
        <f t="shared" si="28"/>
        <v/>
      </c>
      <c r="C307" s="1" t="str">
        <f t="shared" si="25"/>
        <v/>
      </c>
      <c r="D307" s="1" t="str">
        <f t="shared" si="26"/>
        <v/>
      </c>
      <c r="E307" s="1" t="str">
        <f t="shared" si="27"/>
        <v/>
      </c>
    </row>
    <row r="308" spans="1:5">
      <c r="A308" t="str">
        <f t="shared" si="24"/>
        <v/>
      </c>
      <c r="B308" s="1" t="str">
        <f t="shared" si="28"/>
        <v/>
      </c>
      <c r="C308" s="1" t="str">
        <f t="shared" si="25"/>
        <v/>
      </c>
      <c r="D308" s="1" t="str">
        <f t="shared" si="26"/>
        <v/>
      </c>
      <c r="E308" s="1" t="str">
        <f t="shared" si="27"/>
        <v/>
      </c>
    </row>
    <row r="309" spans="1:5">
      <c r="A309" t="str">
        <f t="shared" si="24"/>
        <v/>
      </c>
      <c r="B309" s="1" t="str">
        <f t="shared" si="28"/>
        <v/>
      </c>
      <c r="C309" s="1" t="str">
        <f t="shared" si="25"/>
        <v/>
      </c>
      <c r="D309" s="1" t="str">
        <f t="shared" si="26"/>
        <v/>
      </c>
      <c r="E309" s="1" t="str">
        <f t="shared" si="27"/>
        <v/>
      </c>
    </row>
    <row r="310" spans="1:5">
      <c r="A310" t="str">
        <f t="shared" si="24"/>
        <v/>
      </c>
      <c r="B310" s="1" t="str">
        <f t="shared" si="28"/>
        <v/>
      </c>
      <c r="C310" s="1" t="str">
        <f t="shared" si="25"/>
        <v/>
      </c>
      <c r="D310" s="1" t="str">
        <f t="shared" si="26"/>
        <v/>
      </c>
      <c r="E310" s="1" t="str">
        <f t="shared" si="27"/>
        <v/>
      </c>
    </row>
    <row r="311" spans="1:5">
      <c r="A311" t="str">
        <f t="shared" si="24"/>
        <v/>
      </c>
      <c r="B311" s="1" t="str">
        <f t="shared" si="28"/>
        <v/>
      </c>
      <c r="C311" s="1" t="str">
        <f t="shared" si="25"/>
        <v/>
      </c>
      <c r="D311" s="1" t="str">
        <f t="shared" si="26"/>
        <v/>
      </c>
      <c r="E311" s="1" t="str">
        <f t="shared" si="27"/>
        <v/>
      </c>
    </row>
    <row r="312" spans="1:5">
      <c r="A312" t="str">
        <f t="shared" si="24"/>
        <v/>
      </c>
      <c r="B312" s="1" t="str">
        <f t="shared" si="28"/>
        <v/>
      </c>
      <c r="C312" s="1" t="str">
        <f t="shared" si="25"/>
        <v/>
      </c>
      <c r="D312" s="1" t="str">
        <f t="shared" si="26"/>
        <v/>
      </c>
      <c r="E312" s="1" t="str">
        <f t="shared" si="27"/>
        <v/>
      </c>
    </row>
    <row r="313" spans="1:5">
      <c r="A313" t="str">
        <f t="shared" si="24"/>
        <v/>
      </c>
      <c r="B313" s="1" t="str">
        <f t="shared" si="28"/>
        <v/>
      </c>
      <c r="C313" s="1" t="str">
        <f t="shared" si="25"/>
        <v/>
      </c>
      <c r="D313" s="1" t="str">
        <f t="shared" si="26"/>
        <v/>
      </c>
      <c r="E313" s="1" t="str">
        <f t="shared" si="27"/>
        <v/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workbookViewId="0">
      <selection activeCell="V7" sqref="V7"/>
    </sheetView>
  </sheetViews>
  <sheetFormatPr defaultRowHeight="15"/>
  <cols>
    <col min="5" max="5" width="19.5703125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7"/>
      <c r="J6" s="127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9"/>
      <c r="J7" s="129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9"/>
      <c r="J8" s="129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9"/>
      <c r="J9" s="129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U8" sqref="U8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7"/>
      <c r="K6" s="127"/>
    </row>
    <row r="7" spans="6:11">
      <c r="F7" s="66" t="s">
        <v>85</v>
      </c>
      <c r="G7" s="94">
        <f>'Profit and Loss Statement'!E21/'Profit and Loss Statement'!E8</f>
        <v>1079882.8714459459</v>
      </c>
      <c r="H7" s="94">
        <f>'Profit and Loss Statement'!F21/'Profit and Loss Statement'!F8</f>
        <v>1130244.0986067569</v>
      </c>
      <c r="I7" s="94">
        <f>'Profit and Loss Statement'!G21/'Profit and Loss Statement'!G8</f>
        <v>1180855.2537018242</v>
      </c>
      <c r="J7" s="128"/>
      <c r="K7" s="128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1079882.8714459459</v>
      </c>
      <c r="H11" s="114">
        <f t="shared" ref="H11:K11" si="0">H7</f>
        <v>1130244.0986067569</v>
      </c>
      <c r="I11" s="114">
        <f t="shared" si="0"/>
        <v>1180855.2537018242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V5" sqref="V5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7"/>
      <c r="J6" s="127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0.2</v>
      </c>
      <c r="H8" s="101">
        <f>'Revenue Overview'!H5</f>
        <v>0.15</v>
      </c>
      <c r="I8" s="129"/>
      <c r="J8" s="129"/>
    </row>
    <row r="9" spans="5:10">
      <c r="E9" s="103" t="s">
        <v>12</v>
      </c>
      <c r="F9" s="104">
        <f>'Profit and Loss Statement'!E8</f>
        <v>0.7047619047619047</v>
      </c>
      <c r="G9" s="104">
        <f>'Profit and Loss Statement'!F8</f>
        <v>0.7047619047619047</v>
      </c>
      <c r="H9" s="101">
        <f>'Profit and Loss Statement'!G8</f>
        <v>0.70476190476190481</v>
      </c>
      <c r="I9" s="129"/>
      <c r="J9" s="129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7.0888881800992454E-2</v>
      </c>
      <c r="G12" s="101">
        <f>'Profit and Loss Statement'!F28/'Profit and Loss Statement'!F6</f>
        <v>0.12772700650988233</v>
      </c>
      <c r="H12" s="101">
        <f>'Profit and Loss Statement'!G28/'Profit and Loss Statement'!G6</f>
        <v>0.16360473333422815</v>
      </c>
      <c r="I12" s="129"/>
      <c r="J12" s="129"/>
    </row>
    <row r="13" spans="5:10">
      <c r="E13" s="66" t="s">
        <v>92</v>
      </c>
      <c r="F13" s="105">
        <f>'Balance Sheet'!E10/'Balance Sheet'!E15</f>
        <v>1.2611973879227019</v>
      </c>
      <c r="G13" s="105">
        <f>'Balance Sheet'!F10/'Balance Sheet'!F15</f>
        <v>1.3106059830277061</v>
      </c>
      <c r="H13" s="105">
        <f>'Balance Sheet'!G10/'Balance Sheet'!G15</f>
        <v>1.3964530433780098</v>
      </c>
      <c r="I13" s="130"/>
      <c r="J13" s="130"/>
    </row>
    <row r="14" spans="5:10">
      <c r="E14" s="66" t="s">
        <v>93</v>
      </c>
      <c r="F14" s="105">
        <f>'Balance Sheet'!E17/'Balance Sheet'!E15</f>
        <v>0.26119738792270197</v>
      </c>
      <c r="G14" s="105">
        <f>'Balance Sheet'!F17/'Balance Sheet'!F15</f>
        <v>0.31060598302770615</v>
      </c>
      <c r="H14" s="105">
        <f>'Balance Sheet'!G17/'Balance Sheet'!G15</f>
        <v>0.3964530433780098</v>
      </c>
      <c r="I14" s="130"/>
      <c r="J14" s="130"/>
    </row>
    <row r="15" spans="5:10">
      <c r="E15" s="66" t="s">
        <v>94</v>
      </c>
      <c r="F15" s="105">
        <f>'Balance Sheet'!E10/'Balance Sheet'!E17</f>
        <v>4.8285222067225924</v>
      </c>
      <c r="G15" s="105">
        <f>'Balance Sheet'!F10/'Balance Sheet'!F17</f>
        <v>4.2195129992418714</v>
      </c>
      <c r="H15" s="105">
        <f>'Balance Sheet'!G10/'Balance Sheet'!G17</f>
        <v>3.5223668141866695</v>
      </c>
      <c r="I15" s="130"/>
      <c r="J15" s="130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0.1234213876194319</v>
      </c>
      <c r="G18" s="105">
        <f>'Balance Sheet'!F7/'Balance Sheet'!F10</f>
        <v>0.16645301022752051</v>
      </c>
      <c r="H18" s="105">
        <f>'Balance Sheet'!G7/'Balance Sheet'!G10</f>
        <v>0.22595084660236089</v>
      </c>
      <c r="I18" s="130"/>
      <c r="J18" s="130"/>
    </row>
    <row r="19" spans="5:10">
      <c r="E19" s="66" t="s">
        <v>96</v>
      </c>
      <c r="F19" s="105">
        <f>'Balance Sheet'!E7/'Balance Sheet'!E15</f>
        <v>0.15565873167942282</v>
      </c>
      <c r="G19" s="105">
        <f>'Balance Sheet'!F7/'Balance Sheet'!F15</f>
        <v>0.21815431109716035</v>
      </c>
      <c r="H19" s="105">
        <f>'Balance Sheet'!G7/'Balance Sheet'!G15</f>
        <v>0.3155297473917047</v>
      </c>
      <c r="I19" s="130"/>
      <c r="J19" s="130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G5" sqref="G5:H21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9.28515625" customWidth="1"/>
    <col min="9" max="9" width="10" customWidth="1"/>
    <col min="10" max="11" width="11.7109375" customWidth="1"/>
    <col min="12" max="12" width="17.5703125" customWidth="1"/>
    <col min="13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125</v>
      </c>
      <c r="C5" s="14">
        <v>75000</v>
      </c>
      <c r="G5" s="11" t="s">
        <v>9</v>
      </c>
      <c r="H5" s="16">
        <v>1</v>
      </c>
      <c r="I5" s="16">
        <v>2</v>
      </c>
      <c r="J5" s="117">
        <v>3</v>
      </c>
      <c r="M5" s="43"/>
      <c r="N5" s="43"/>
    </row>
    <row r="6" spans="2:14">
      <c r="B6" s="4" t="s">
        <v>127</v>
      </c>
      <c r="C6" s="14">
        <v>50000</v>
      </c>
      <c r="G6" s="4" t="str">
        <f>B5</f>
        <v>Owner</v>
      </c>
      <c r="H6" s="14">
        <f t="shared" ref="H6:H15" si="0">H18*C5</f>
        <v>75000</v>
      </c>
      <c r="I6" s="14">
        <f t="shared" ref="I6:I15" si="1">D58*I18</f>
        <v>77250</v>
      </c>
      <c r="J6" s="14">
        <f t="shared" ref="J6:J15" si="2">E58*J18</f>
        <v>79567.5</v>
      </c>
      <c r="M6" s="118"/>
      <c r="N6" s="118"/>
    </row>
    <row r="7" spans="2:14">
      <c r="B7" s="4" t="s">
        <v>129</v>
      </c>
      <c r="C7" s="14">
        <v>35000</v>
      </c>
      <c r="G7" s="4" t="str">
        <f>B6</f>
        <v>Operations Manager</v>
      </c>
      <c r="H7" s="14">
        <f t="shared" si="0"/>
        <v>50000</v>
      </c>
      <c r="I7" s="14">
        <f t="shared" si="1"/>
        <v>51500</v>
      </c>
      <c r="J7" s="14">
        <f t="shared" si="2"/>
        <v>53045</v>
      </c>
      <c r="M7" s="118"/>
      <c r="N7" s="118"/>
    </row>
    <row r="8" spans="2:14">
      <c r="B8" s="4" t="s">
        <v>130</v>
      </c>
      <c r="C8" s="14">
        <v>37500</v>
      </c>
      <c r="G8" s="4" t="str">
        <f>B7</f>
        <v>Farm Staff</v>
      </c>
      <c r="H8" s="14">
        <f t="shared" si="0"/>
        <v>175000</v>
      </c>
      <c r="I8" s="14">
        <f t="shared" si="1"/>
        <v>180250</v>
      </c>
      <c r="J8" s="14">
        <f t="shared" si="2"/>
        <v>185657.5</v>
      </c>
      <c r="M8" s="118"/>
      <c r="N8" s="118"/>
    </row>
    <row r="9" spans="2:14">
      <c r="B9" s="4" t="s">
        <v>124</v>
      </c>
      <c r="C9" s="14">
        <v>45000</v>
      </c>
      <c r="G9" s="4" t="str">
        <f>B8</f>
        <v>Distribution Staff</v>
      </c>
      <c r="H9" s="14">
        <f t="shared" si="0"/>
        <v>187500</v>
      </c>
      <c r="I9" s="14">
        <f t="shared" si="1"/>
        <v>193125</v>
      </c>
      <c r="J9" s="14">
        <f t="shared" si="2"/>
        <v>198918.75</v>
      </c>
      <c r="M9" s="118"/>
      <c r="N9" s="118"/>
    </row>
    <row r="10" spans="2:14">
      <c r="B10" s="4" t="s">
        <v>120</v>
      </c>
      <c r="C10" s="14">
        <v>0</v>
      </c>
      <c r="G10" s="4" t="str">
        <f>B9</f>
        <v>Administrative Staff</v>
      </c>
      <c r="H10" s="14">
        <f t="shared" si="0"/>
        <v>90000</v>
      </c>
      <c r="I10" s="14">
        <f t="shared" si="1"/>
        <v>92700</v>
      </c>
      <c r="J10" s="14">
        <f t="shared" si="2"/>
        <v>95481</v>
      </c>
      <c r="M10" s="118"/>
      <c r="N10" s="118"/>
    </row>
    <row r="11" spans="2:14">
      <c r="B11" s="4" t="s">
        <v>133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8"/>
      <c r="N11" s="118"/>
    </row>
    <row r="12" spans="2:14">
      <c r="B12" s="4" t="s">
        <v>134</v>
      </c>
      <c r="C12" s="14">
        <v>0</v>
      </c>
      <c r="G12" s="4" t="str">
        <f>B30</f>
        <v>Postion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8"/>
      <c r="N12" s="118"/>
    </row>
    <row r="13" spans="2:14">
      <c r="B13" s="4" t="s">
        <v>135</v>
      </c>
      <c r="C13" s="14">
        <v>0</v>
      </c>
      <c r="G13" s="4" t="str">
        <f>B31</f>
        <v>Postion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8"/>
      <c r="N13" s="118"/>
    </row>
    <row r="14" spans="2:14">
      <c r="B14" s="4" t="s">
        <v>121</v>
      </c>
      <c r="C14" s="14">
        <v>0</v>
      </c>
      <c r="G14" s="4" t="str">
        <f>B32</f>
        <v>Postion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8"/>
      <c r="N14" s="118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8"/>
      <c r="N15" s="118"/>
    </row>
    <row r="16" spans="2:14">
      <c r="G16" s="10" t="s">
        <v>8</v>
      </c>
      <c r="H16" s="9">
        <f>SUM(H6:H15)</f>
        <v>577500</v>
      </c>
      <c r="I16" s="9">
        <f t="shared" ref="I16:J16" si="3">SUM(I6:I15)</f>
        <v>594825</v>
      </c>
      <c r="J16" s="9">
        <f t="shared" si="3"/>
        <v>612669.75</v>
      </c>
      <c r="M16" s="119"/>
      <c r="N16" s="119"/>
    </row>
    <row r="17" spans="2:20">
      <c r="M17" s="30"/>
      <c r="N17" s="30"/>
    </row>
    <row r="18" spans="2:20">
      <c r="G18" s="4" t="str">
        <f>G6</f>
        <v>Owner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Operations Manager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Farm Staff</v>
      </c>
      <c r="H20" s="4">
        <f t="shared" si="4"/>
        <v>5</v>
      </c>
      <c r="I20" s="4">
        <f t="shared" si="5"/>
        <v>5</v>
      </c>
      <c r="J20" s="4">
        <f t="shared" si="6"/>
        <v>5</v>
      </c>
      <c r="M20" s="30"/>
      <c r="N20" s="30"/>
    </row>
    <row r="21" spans="2:20">
      <c r="G21" s="4" t="str">
        <f>G9</f>
        <v>Distribution Staff</v>
      </c>
      <c r="H21" s="4">
        <f t="shared" si="4"/>
        <v>5</v>
      </c>
      <c r="I21" s="4">
        <f t="shared" si="5"/>
        <v>5</v>
      </c>
      <c r="J21" s="4">
        <f t="shared" si="6"/>
        <v>5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Administrative Staff</v>
      </c>
      <c r="H22" s="4">
        <f t="shared" si="4"/>
        <v>2</v>
      </c>
      <c r="I22" s="4">
        <f t="shared" si="5"/>
        <v>2</v>
      </c>
      <c r="J22" s="4">
        <f t="shared" si="6"/>
        <v>2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Owner</v>
      </c>
      <c r="C24" s="5">
        <v>1</v>
      </c>
      <c r="D24" s="5">
        <v>1</v>
      </c>
      <c r="E24" s="5">
        <v>1</v>
      </c>
      <c r="F24" s="141"/>
      <c r="G24" s="4" t="str">
        <f t="shared" si="7"/>
        <v>Postion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 t="shared" ref="B25:B33" si="8">B6</f>
        <v>Operations Manager</v>
      </c>
      <c r="C25" s="5">
        <v>1</v>
      </c>
      <c r="D25" s="5">
        <v>1</v>
      </c>
      <c r="E25" s="5">
        <v>1</v>
      </c>
      <c r="G25" s="4" t="str">
        <f t="shared" si="7"/>
        <v>Postion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 t="shared" si="8"/>
        <v>Farm Staff</v>
      </c>
      <c r="C26" s="5">
        <v>5</v>
      </c>
      <c r="D26" s="5">
        <v>5</v>
      </c>
      <c r="E26" s="5">
        <v>5</v>
      </c>
      <c r="F26" s="141"/>
      <c r="G26" s="4" t="str">
        <f t="shared" si="7"/>
        <v>Postion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 t="shared" si="8"/>
        <v>Distribution Staff</v>
      </c>
      <c r="C27" s="5">
        <v>5</v>
      </c>
      <c r="D27" s="5">
        <v>5</v>
      </c>
      <c r="E27" s="5">
        <v>5</v>
      </c>
      <c r="F27" s="141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 t="shared" si="8"/>
        <v>Administrative Staff</v>
      </c>
      <c r="C28" s="5">
        <v>2</v>
      </c>
      <c r="D28" s="5">
        <v>2</v>
      </c>
      <c r="E28" s="5">
        <v>2</v>
      </c>
      <c r="F28" s="141"/>
      <c r="G28" s="10" t="s">
        <v>8</v>
      </c>
      <c r="H28" s="10">
        <f>SUM(H18:H27)</f>
        <v>14</v>
      </c>
      <c r="I28" s="10">
        <f t="shared" ref="I28:J28" si="9">SUM(I18:I27)</f>
        <v>14</v>
      </c>
      <c r="J28" s="10">
        <f t="shared" si="9"/>
        <v>14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tr">
        <f t="shared" si="8"/>
        <v>Position 6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tr">
        <f t="shared" si="8"/>
        <v>Postion 7</v>
      </c>
      <c r="C30" s="5"/>
      <c r="D30" s="5"/>
      <c r="E30" s="5"/>
      <c r="P30" s="115"/>
      <c r="Q30" s="115"/>
      <c r="R30" s="115"/>
      <c r="S30" s="115"/>
      <c r="T30" s="115"/>
    </row>
    <row r="31" spans="2:20">
      <c r="B31" s="15" t="str">
        <f t="shared" si="8"/>
        <v>Postion 8</v>
      </c>
      <c r="C31" s="5"/>
      <c r="D31" s="5"/>
      <c r="E31" s="5"/>
      <c r="K31" s="112"/>
      <c r="L31" s="112" t="str">
        <f>G6</f>
        <v>Owner</v>
      </c>
      <c r="M31" s="113">
        <f>J6/$J$16</f>
        <v>0.12987012987012986</v>
      </c>
      <c r="N31" s="112"/>
      <c r="P31" s="115"/>
      <c r="Q31" s="115"/>
      <c r="R31" s="115"/>
      <c r="S31" s="115"/>
      <c r="T31" s="115"/>
    </row>
    <row r="32" spans="2:20">
      <c r="B32" s="15" t="str">
        <f t="shared" si="8"/>
        <v>Postion 9</v>
      </c>
      <c r="C32" s="5"/>
      <c r="D32" s="5"/>
      <c r="E32" s="5"/>
      <c r="F32" s="30"/>
      <c r="G32" s="30"/>
      <c r="K32" s="112"/>
      <c r="L32" s="112" t="str">
        <f>G7</f>
        <v>Operations Manager</v>
      </c>
      <c r="M32" s="113">
        <f>J7/$J$16</f>
        <v>8.6580086580086577E-2</v>
      </c>
      <c r="N32" s="112"/>
      <c r="P32" s="115"/>
      <c r="Q32" s="115"/>
      <c r="T32" s="115"/>
    </row>
    <row r="33" spans="2:20">
      <c r="B33" s="15" t="str">
        <f t="shared" si="8"/>
        <v>Position 10</v>
      </c>
      <c r="C33" s="5"/>
      <c r="D33" s="5"/>
      <c r="E33" s="5"/>
      <c r="F33" s="30"/>
      <c r="G33" s="30"/>
      <c r="K33" s="112"/>
      <c r="L33" s="112" t="str">
        <f>G8</f>
        <v>Farm Staff</v>
      </c>
      <c r="M33" s="113">
        <f>J8/$J$16</f>
        <v>0.30303030303030304</v>
      </c>
      <c r="N33" s="112"/>
      <c r="P33" s="115"/>
      <c r="Q33" s="115"/>
      <c r="T33" s="115"/>
    </row>
    <row r="34" spans="2:20">
      <c r="F34" s="43"/>
      <c r="G34" s="43"/>
      <c r="K34" s="112"/>
      <c r="L34" s="112" t="str">
        <f>G9</f>
        <v>Distribution Staff</v>
      </c>
      <c r="M34" s="113">
        <f>J9/$J$16</f>
        <v>0.32467532467532467</v>
      </c>
      <c r="N34" s="112"/>
      <c r="P34" s="115"/>
      <c r="Q34" s="115"/>
      <c r="T34" s="115"/>
    </row>
    <row r="35" spans="2:20">
      <c r="F35" s="43"/>
      <c r="G35" s="43"/>
      <c r="K35" s="112"/>
      <c r="L35" s="112" t="str">
        <f>G10</f>
        <v>Administrative Staff</v>
      </c>
      <c r="M35" s="113">
        <f>J10/$J$16</f>
        <v>0.15584415584415584</v>
      </c>
      <c r="N35" s="112"/>
      <c r="P35" s="115"/>
      <c r="Q35" s="115"/>
      <c r="T35" s="115"/>
    </row>
    <row r="36" spans="2:20">
      <c r="F36" s="43"/>
      <c r="G36" s="43"/>
      <c r="K36" s="112"/>
      <c r="L36" s="112" t="str">
        <f t="shared" ref="L36:L40" si="10">G11</f>
        <v>Position 6</v>
      </c>
      <c r="M36" s="113">
        <f t="shared" ref="M36:M40" si="11">J11/$J$16</f>
        <v>0</v>
      </c>
      <c r="N36" s="112"/>
      <c r="P36" s="115"/>
      <c r="Q36" s="115"/>
      <c r="T36" s="115"/>
    </row>
    <row r="37" spans="2:20">
      <c r="F37" s="43"/>
      <c r="G37" s="43"/>
      <c r="K37" s="112"/>
      <c r="L37" s="112" t="str">
        <f t="shared" si="10"/>
        <v>Postion 7</v>
      </c>
      <c r="M37" s="113">
        <f t="shared" si="11"/>
        <v>0</v>
      </c>
      <c r="N37" s="112"/>
      <c r="P37" s="115"/>
      <c r="Q37" s="115"/>
      <c r="R37" s="115"/>
      <c r="S37" s="116"/>
      <c r="T37" s="115"/>
    </row>
    <row r="38" spans="2:20">
      <c r="F38" s="43"/>
      <c r="G38" s="43"/>
      <c r="K38" s="112"/>
      <c r="L38" s="112" t="str">
        <f t="shared" si="10"/>
        <v>Postion 8</v>
      </c>
      <c r="M38" s="113">
        <f t="shared" si="11"/>
        <v>0</v>
      </c>
      <c r="N38" s="112"/>
      <c r="Q38" s="112"/>
      <c r="R38" s="112"/>
      <c r="S38" s="113"/>
    </row>
    <row r="39" spans="2:20">
      <c r="F39" s="43"/>
      <c r="G39" s="43"/>
      <c r="K39" s="112"/>
      <c r="L39" s="112" t="str">
        <f t="shared" si="10"/>
        <v>Postion 9</v>
      </c>
      <c r="M39" s="113">
        <f t="shared" si="11"/>
        <v>0</v>
      </c>
      <c r="N39" s="112"/>
      <c r="S39" s="111"/>
    </row>
    <row r="40" spans="2:20">
      <c r="F40" s="43"/>
      <c r="G40" s="43"/>
      <c r="K40" s="112"/>
      <c r="L40" s="112" t="str">
        <f t="shared" si="10"/>
        <v>Position 10</v>
      </c>
      <c r="M40" s="113">
        <f t="shared" si="11"/>
        <v>0</v>
      </c>
      <c r="N40" s="112"/>
    </row>
    <row r="41" spans="2:20">
      <c r="F41" s="43"/>
      <c r="G41" s="43"/>
      <c r="K41" s="112"/>
      <c r="L41" s="112"/>
      <c r="M41" s="113"/>
      <c r="N41" s="112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Owner</v>
      </c>
      <c r="C58" s="14">
        <f>C5</f>
        <v>75000</v>
      </c>
      <c r="D58" s="14">
        <f>C58*(1+$C$53)</f>
        <v>77250</v>
      </c>
      <c r="E58" s="14">
        <f>D58*(1+$C$53)</f>
        <v>79567.5</v>
      </c>
      <c r="F58" s="14">
        <f>E58*(1+$C$53)</f>
        <v>81954.525000000009</v>
      </c>
      <c r="G58" s="14">
        <f>F58*(1+$C$53)</f>
        <v>84413.16075000001</v>
      </c>
    </row>
    <row r="59" spans="2:7">
      <c r="B59" s="4" t="str">
        <f t="shared" ref="B59:C67" si="12">B6</f>
        <v>Operations Manager</v>
      </c>
      <c r="C59" s="14">
        <f t="shared" si="12"/>
        <v>50000</v>
      </c>
      <c r="D59" s="14">
        <f t="shared" ref="D59:G59" si="13">C59*(1+$C$53)</f>
        <v>51500</v>
      </c>
      <c r="E59" s="14">
        <f t="shared" si="13"/>
        <v>53045</v>
      </c>
      <c r="F59" s="14">
        <f t="shared" si="13"/>
        <v>54636.35</v>
      </c>
      <c r="G59" s="14">
        <f t="shared" si="13"/>
        <v>56275.440499999997</v>
      </c>
    </row>
    <row r="60" spans="2:7">
      <c r="B60" s="4" t="str">
        <f t="shared" si="12"/>
        <v>Farm Staff</v>
      </c>
      <c r="C60" s="14">
        <f t="shared" si="12"/>
        <v>35000</v>
      </c>
      <c r="D60" s="14">
        <f t="shared" ref="D60:G60" si="14">C60*(1+$C$53)</f>
        <v>36050</v>
      </c>
      <c r="E60" s="14">
        <f t="shared" si="14"/>
        <v>37131.5</v>
      </c>
      <c r="F60" s="14">
        <f t="shared" si="14"/>
        <v>38245.445</v>
      </c>
      <c r="G60" s="14">
        <f t="shared" si="14"/>
        <v>39392.808349999999</v>
      </c>
    </row>
    <row r="61" spans="2:7">
      <c r="B61" s="4" t="str">
        <f t="shared" si="12"/>
        <v>Distribution Staff</v>
      </c>
      <c r="C61" s="14">
        <f t="shared" si="12"/>
        <v>37500</v>
      </c>
      <c r="D61" s="14">
        <f t="shared" ref="D61:G61" si="15">C61*(1+$C$53)</f>
        <v>38625</v>
      </c>
      <c r="E61" s="14">
        <f t="shared" si="15"/>
        <v>39783.75</v>
      </c>
      <c r="F61" s="14">
        <f t="shared" si="15"/>
        <v>40977.262500000004</v>
      </c>
      <c r="G61" s="14">
        <f t="shared" si="15"/>
        <v>42206.580375000005</v>
      </c>
    </row>
    <row r="62" spans="2:7">
      <c r="B62" s="4" t="str">
        <f t="shared" si="12"/>
        <v>Administrative Staff</v>
      </c>
      <c r="C62" s="14">
        <f t="shared" si="12"/>
        <v>45000</v>
      </c>
      <c r="D62" s="14">
        <f t="shared" ref="D62:G62" si="16">C62*(1+$C$53)</f>
        <v>46350</v>
      </c>
      <c r="E62" s="14">
        <f t="shared" si="16"/>
        <v>47740.5</v>
      </c>
      <c r="F62" s="14">
        <f t="shared" si="16"/>
        <v>49172.715000000004</v>
      </c>
      <c r="G62" s="14">
        <f t="shared" si="16"/>
        <v>50647.896450000007</v>
      </c>
    </row>
    <row r="63" spans="2:7">
      <c r="B63" s="4" t="str">
        <f t="shared" si="12"/>
        <v>Position 6</v>
      </c>
      <c r="C63" s="14">
        <f t="shared" si="12"/>
        <v>0</v>
      </c>
      <c r="D63" s="14">
        <f t="shared" ref="D63:G63" si="17">C63*(1+$C$53)</f>
        <v>0</v>
      </c>
      <c r="E63" s="14">
        <f t="shared" si="17"/>
        <v>0</v>
      </c>
      <c r="F63" s="14">
        <f t="shared" si="17"/>
        <v>0</v>
      </c>
      <c r="G63" s="14">
        <f t="shared" si="17"/>
        <v>0</v>
      </c>
    </row>
    <row r="64" spans="2:7">
      <c r="B64" s="4" t="str">
        <f t="shared" si="12"/>
        <v>Postion 7</v>
      </c>
      <c r="C64" s="14">
        <f t="shared" si="12"/>
        <v>0</v>
      </c>
      <c r="D64" s="14">
        <f t="shared" ref="D64:G64" si="18">C64*(1+$C$53)</f>
        <v>0</v>
      </c>
      <c r="E64" s="14">
        <f t="shared" si="18"/>
        <v>0</v>
      </c>
      <c r="F64" s="14">
        <f t="shared" si="18"/>
        <v>0</v>
      </c>
      <c r="G64" s="14">
        <f t="shared" si="18"/>
        <v>0</v>
      </c>
    </row>
    <row r="65" spans="2:7">
      <c r="B65" s="4" t="str">
        <f t="shared" si="12"/>
        <v>Postion 8</v>
      </c>
      <c r="C65" s="14">
        <f t="shared" si="12"/>
        <v>0</v>
      </c>
      <c r="D65" s="14">
        <f t="shared" ref="D65:G65" si="19">C65*(1+$C$53)</f>
        <v>0</v>
      </c>
      <c r="E65" s="14">
        <f t="shared" si="19"/>
        <v>0</v>
      </c>
      <c r="F65" s="14">
        <f t="shared" si="19"/>
        <v>0</v>
      </c>
      <c r="G65" s="14">
        <f t="shared" si="19"/>
        <v>0</v>
      </c>
    </row>
    <row r="66" spans="2:7">
      <c r="B66" s="4" t="str">
        <f t="shared" si="12"/>
        <v>Postion 9</v>
      </c>
      <c r="C66" s="14">
        <f t="shared" si="12"/>
        <v>0</v>
      </c>
      <c r="D66" s="14">
        <f t="shared" ref="D66:G66" si="20">C66*(1+$C$53)</f>
        <v>0</v>
      </c>
      <c r="E66" s="14">
        <f t="shared" si="20"/>
        <v>0</v>
      </c>
      <c r="F66" s="14">
        <f t="shared" si="20"/>
        <v>0</v>
      </c>
      <c r="G66" s="14">
        <f t="shared" si="20"/>
        <v>0</v>
      </c>
    </row>
    <row r="67" spans="2:7">
      <c r="B67" s="4" t="str">
        <f t="shared" si="12"/>
        <v>Position 10</v>
      </c>
      <c r="C67" s="14">
        <f t="shared" si="12"/>
        <v>0</v>
      </c>
      <c r="D67" s="14">
        <f t="shared" ref="D67:G67" si="21">C67*(1+$C$53)</f>
        <v>0</v>
      </c>
      <c r="E67" s="14">
        <f t="shared" si="21"/>
        <v>0</v>
      </c>
      <c r="F67" s="14">
        <f t="shared" si="21"/>
        <v>0</v>
      </c>
      <c r="G67" s="14">
        <f t="shared" si="21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J24" sqref="J24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7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0.2</v>
      </c>
      <c r="H5" s="109">
        <f>Inputs!C47</f>
        <v>0.15</v>
      </c>
      <c r="I5" s="126"/>
      <c r="J5" s="108"/>
      <c r="K5" s="109"/>
      <c r="L5" s="109"/>
      <c r="M5" s="109"/>
    </row>
    <row r="6" spans="5:13">
      <c r="E6" s="94" t="str">
        <f>Inputs!B5</f>
        <v>Sales of Microgreens</v>
      </c>
      <c r="F6" s="94">
        <f>SUM(Inputs!C32:N32)</f>
        <v>1381320</v>
      </c>
      <c r="G6" s="94">
        <f t="shared" ref="G6:H15" si="0">F6*(1+G$5)</f>
        <v>1657584</v>
      </c>
      <c r="H6" s="94">
        <f t="shared" si="0"/>
        <v>1906221.5999999999</v>
      </c>
      <c r="I6" s="128"/>
      <c r="J6" s="94" t="str">
        <f>E6</f>
        <v>Sales of Microgreens</v>
      </c>
      <c r="K6" s="144">
        <f>F6/$F$16</f>
        <v>0.95238095238095233</v>
      </c>
      <c r="L6" s="144">
        <f>G6/$G$16</f>
        <v>0.95238095238095244</v>
      </c>
      <c r="M6" s="144">
        <f>H6/$H$16</f>
        <v>0.95238095238095233</v>
      </c>
    </row>
    <row r="7" spans="5:13">
      <c r="E7" s="94" t="str">
        <f>Inputs!B6</f>
        <v>Other Income</v>
      </c>
      <c r="F7" s="94">
        <f>SUM(Inputs!C33:N33)</f>
        <v>69066</v>
      </c>
      <c r="G7" s="94">
        <f t="shared" si="0"/>
        <v>82879.199999999997</v>
      </c>
      <c r="H7" s="94">
        <f t="shared" si="0"/>
        <v>95311.079999999987</v>
      </c>
      <c r="I7" s="128"/>
      <c r="J7" s="94" t="str">
        <f t="shared" ref="J7:J15" si="1">E7</f>
        <v>Other Income</v>
      </c>
      <c r="K7" s="144">
        <f t="shared" ref="K7:K15" si="2">F7/$F$16</f>
        <v>4.7619047619047616E-2</v>
      </c>
      <c r="L7" s="144">
        <f t="shared" ref="L7:L15" si="3">G7/$G$16</f>
        <v>4.7619047619047616E-2</v>
      </c>
      <c r="M7" s="144">
        <f t="shared" ref="M7:M15" si="4">H7/$H$16</f>
        <v>4.7619047619047616E-2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8"/>
      <c r="J8" s="94" t="str">
        <f t="shared" si="1"/>
        <v>Item 3</v>
      </c>
      <c r="K8" s="144">
        <f t="shared" si="2"/>
        <v>0</v>
      </c>
      <c r="L8" s="144">
        <f t="shared" si="3"/>
        <v>0</v>
      </c>
      <c r="M8" s="144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8"/>
      <c r="J9" s="94" t="str">
        <f t="shared" si="1"/>
        <v>Item 4</v>
      </c>
      <c r="K9" s="144">
        <f t="shared" si="2"/>
        <v>0</v>
      </c>
      <c r="L9" s="144">
        <f t="shared" si="3"/>
        <v>0</v>
      </c>
      <c r="M9" s="144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8"/>
      <c r="J10" s="94" t="str">
        <f t="shared" si="1"/>
        <v>Item 5</v>
      </c>
      <c r="K10" s="144">
        <f t="shared" si="2"/>
        <v>0</v>
      </c>
      <c r="L10" s="144">
        <f t="shared" si="3"/>
        <v>0</v>
      </c>
      <c r="M10" s="144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8"/>
      <c r="J11" s="94" t="str">
        <f t="shared" si="1"/>
        <v>Item 6</v>
      </c>
      <c r="K11" s="144">
        <f t="shared" si="2"/>
        <v>0</v>
      </c>
      <c r="L11" s="144">
        <f t="shared" si="3"/>
        <v>0</v>
      </c>
      <c r="M11" s="144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8"/>
      <c r="J12" s="94" t="str">
        <f t="shared" si="1"/>
        <v>Item 7</v>
      </c>
      <c r="K12" s="144">
        <f t="shared" si="2"/>
        <v>0</v>
      </c>
      <c r="L12" s="144">
        <f t="shared" si="3"/>
        <v>0</v>
      </c>
      <c r="M12" s="144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8"/>
      <c r="J13" s="94" t="str">
        <f t="shared" si="1"/>
        <v>Item 8</v>
      </c>
      <c r="K13" s="144">
        <f t="shared" si="2"/>
        <v>0</v>
      </c>
      <c r="L13" s="144">
        <f t="shared" si="3"/>
        <v>0</v>
      </c>
      <c r="M13" s="144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8"/>
      <c r="J14" s="94" t="str">
        <f t="shared" si="1"/>
        <v>Item 9</v>
      </c>
      <c r="K14" s="144">
        <f t="shared" si="2"/>
        <v>0</v>
      </c>
      <c r="L14" s="144">
        <f t="shared" si="3"/>
        <v>0</v>
      </c>
      <c r="M14" s="144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8"/>
      <c r="J15" s="94" t="str">
        <f t="shared" si="1"/>
        <v>Item 10</v>
      </c>
      <c r="K15" s="144">
        <f t="shared" si="2"/>
        <v>0</v>
      </c>
      <c r="L15" s="144">
        <f t="shared" si="3"/>
        <v>0</v>
      </c>
      <c r="M15" s="144">
        <f t="shared" si="4"/>
        <v>0</v>
      </c>
    </row>
    <row r="16" spans="5:13">
      <c r="E16" s="99" t="s">
        <v>8</v>
      </c>
      <c r="F16" s="99">
        <f>SUM(F6:F15)</f>
        <v>1450386</v>
      </c>
      <c r="G16" s="99">
        <f>SUM(G6:G15)</f>
        <v>1740463.2</v>
      </c>
      <c r="H16" s="99">
        <f>SUM(H6:H15)</f>
        <v>2001532.68</v>
      </c>
      <c r="I16" s="132"/>
      <c r="J16" s="143"/>
      <c r="K16" s="143"/>
      <c r="L16" s="143"/>
      <c r="M16" s="143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2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7"/>
      <c r="J19" s="63"/>
      <c r="K19" s="127"/>
      <c r="L19" s="127"/>
      <c r="M19" s="127"/>
    </row>
    <row r="20" spans="5:13">
      <c r="E20" s="108" t="s">
        <v>55</v>
      </c>
      <c r="F20" s="109">
        <v>0</v>
      </c>
      <c r="G20" s="109">
        <f>G5</f>
        <v>0.2</v>
      </c>
      <c r="H20" s="109">
        <f>H5</f>
        <v>0.15</v>
      </c>
      <c r="I20" s="126"/>
      <c r="K20" s="126"/>
      <c r="L20" s="126"/>
      <c r="M20" s="126"/>
    </row>
    <row r="21" spans="5:13">
      <c r="E21" s="94" t="str">
        <f>E6</f>
        <v>Sales of Microgreens</v>
      </c>
      <c r="F21" s="94">
        <f>SUM(Inputs!C51:N51)</f>
        <v>414396</v>
      </c>
      <c r="G21" s="94">
        <f t="shared" ref="G21:H30" si="5">F21*(1+G$20)</f>
        <v>497275.19999999995</v>
      </c>
      <c r="H21" s="94">
        <f t="shared" si="5"/>
        <v>571866.47999999986</v>
      </c>
      <c r="I21" s="128"/>
      <c r="J21" s="128"/>
      <c r="K21" s="128"/>
      <c r="L21" s="128"/>
      <c r="M21" s="128"/>
    </row>
    <row r="22" spans="5:13">
      <c r="E22" s="94" t="str">
        <f t="shared" ref="E22:E30" si="6">E7</f>
        <v>Other Income</v>
      </c>
      <c r="F22" s="94">
        <f>SUM(Inputs!C52:N52)</f>
        <v>13813.2</v>
      </c>
      <c r="G22" s="94">
        <f t="shared" si="5"/>
        <v>16575.84</v>
      </c>
      <c r="H22" s="94">
        <f t="shared" si="5"/>
        <v>19062.216</v>
      </c>
      <c r="I22" s="128"/>
      <c r="J22" s="128"/>
      <c r="K22" s="128"/>
      <c r="L22" s="128"/>
      <c r="M22" s="128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8"/>
      <c r="J23" s="128"/>
      <c r="K23" s="128"/>
      <c r="L23" s="128"/>
      <c r="M23" s="128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8"/>
      <c r="J24" s="128"/>
      <c r="K24" s="128"/>
      <c r="L24" s="128"/>
      <c r="M24" s="128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8"/>
      <c r="J25" s="128"/>
      <c r="K25" s="128"/>
      <c r="L25" s="128"/>
      <c r="M25" s="128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8"/>
      <c r="J26" s="128"/>
      <c r="K26" s="128"/>
      <c r="L26" s="128"/>
      <c r="M26" s="128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8"/>
      <c r="J27" s="128"/>
      <c r="K27" s="128"/>
      <c r="L27" s="128"/>
      <c r="M27" s="128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8"/>
      <c r="J28" s="128"/>
      <c r="K28" s="128"/>
      <c r="L28" s="128"/>
      <c r="M28" s="128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8"/>
      <c r="J29" s="128"/>
      <c r="K29" s="128"/>
      <c r="L29" s="128"/>
      <c r="M29" s="128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8"/>
      <c r="J30" s="128"/>
      <c r="K30" s="128"/>
      <c r="L30" s="128"/>
      <c r="M30" s="128"/>
    </row>
    <row r="31" spans="5:13">
      <c r="E31" s="100" t="s">
        <v>8</v>
      </c>
      <c r="F31" s="100">
        <f>SUM(F21:F30)</f>
        <v>428209.2</v>
      </c>
      <c r="G31" s="100">
        <f>SUM(G21:G30)</f>
        <v>513851.04</v>
      </c>
      <c r="H31" s="100">
        <f>SUM(H21:H30)</f>
        <v>590928.69599999988</v>
      </c>
      <c r="I31" s="128"/>
      <c r="J31" s="128"/>
      <c r="K31" s="128"/>
      <c r="L31" s="128"/>
      <c r="M31" s="128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E30" sqref="E30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131</v>
      </c>
      <c r="E6" s="6">
        <f>870000+250000</f>
        <v>1120000</v>
      </c>
    </row>
    <row r="7" spans="4:5">
      <c r="D7" s="21" t="s">
        <v>116</v>
      </c>
      <c r="E7" s="6">
        <v>25000</v>
      </c>
    </row>
    <row r="8" spans="4:5">
      <c r="D8" s="21" t="s">
        <v>115</v>
      </c>
      <c r="E8" s="6">
        <v>5000</v>
      </c>
    </row>
    <row r="9" spans="4:5">
      <c r="D9" s="21" t="s">
        <v>0</v>
      </c>
      <c r="E9" s="6">
        <v>100000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1250000</v>
      </c>
    </row>
    <row r="20" spans="4:5">
      <c r="D20" s="7" t="s">
        <v>97</v>
      </c>
      <c r="E20" s="3"/>
    </row>
    <row r="21" spans="4:5">
      <c r="D21" s="4" t="s">
        <v>98</v>
      </c>
      <c r="E21" s="14">
        <v>250000</v>
      </c>
    </row>
    <row r="22" spans="4:5">
      <c r="D22" s="4" t="s">
        <v>99</v>
      </c>
      <c r="E22" s="14">
        <v>1000000</v>
      </c>
    </row>
    <row r="23" spans="4:5">
      <c r="D23" s="4" t="s">
        <v>100</v>
      </c>
      <c r="E23" s="14">
        <f>SUM(E21:E22)</f>
        <v>1250000</v>
      </c>
    </row>
    <row r="27" spans="4:5">
      <c r="D27" s="112"/>
    </row>
    <row r="28" spans="4:5">
      <c r="D28" s="121"/>
      <c r="E28" s="1"/>
    </row>
    <row r="29" spans="4:5">
      <c r="D29" s="121"/>
      <c r="E29" s="1"/>
    </row>
    <row r="30" spans="4:5">
      <c r="D30" s="121"/>
      <c r="E30" s="1"/>
    </row>
    <row r="31" spans="4:5">
      <c r="D31" s="121"/>
      <c r="E31" s="1"/>
    </row>
    <row r="32" spans="4:5">
      <c r="D32" s="121"/>
      <c r="E32" s="1"/>
    </row>
    <row r="33" spans="4:5">
      <c r="D33" s="121"/>
      <c r="E33" s="1"/>
    </row>
    <row r="34" spans="4:5">
      <c r="D34" s="121"/>
      <c r="E34" s="1"/>
    </row>
    <row r="35" spans="4:5">
      <c r="D35" s="121"/>
      <c r="E35" s="1"/>
    </row>
    <row r="36" spans="4:5">
      <c r="D36" s="121"/>
      <c r="E36" s="1"/>
    </row>
    <row r="37" spans="4:5">
      <c r="D37" s="121"/>
      <c r="E37" s="1"/>
    </row>
    <row r="38" spans="4:5">
      <c r="D38" s="122"/>
      <c r="E38" s="123"/>
    </row>
    <row r="40" spans="4:5">
      <c r="D40" s="112"/>
    </row>
    <row r="41" spans="4:5">
      <c r="D41" s="121"/>
      <c r="E41" s="1"/>
    </row>
    <row r="42" spans="4:5">
      <c r="D42" s="121"/>
      <c r="E42" s="1"/>
    </row>
    <row r="43" spans="4:5">
      <c r="D43" s="121"/>
      <c r="E43" s="1"/>
    </row>
    <row r="44" spans="4:5">
      <c r="D44" s="121"/>
      <c r="E44" s="1"/>
    </row>
    <row r="45" spans="4:5">
      <c r="D45" s="121"/>
      <c r="E45" s="1"/>
    </row>
    <row r="46" spans="4:5">
      <c r="D46" s="121"/>
      <c r="E46" s="1"/>
    </row>
    <row r="47" spans="4:5">
      <c r="D47" s="121"/>
      <c r="E47" s="1"/>
    </row>
    <row r="48" spans="4:5">
      <c r="D48" s="121"/>
      <c r="E48" s="1"/>
    </row>
    <row r="49" spans="4:5">
      <c r="D49" s="121"/>
      <c r="E49" s="1"/>
    </row>
    <row r="50" spans="4:5">
      <c r="D50" s="121"/>
      <c r="E50" s="1"/>
    </row>
    <row r="51" spans="4:5">
      <c r="D51" s="122"/>
      <c r="E51" s="12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topLeftCell="A2" workbookViewId="0">
      <selection activeCell="T8" sqref="T8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5"/>
      <c r="I5" s="13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1450386</v>
      </c>
      <c r="F6" s="69">
        <f>'Revenue Overview'!G16</f>
        <v>1740463.2</v>
      </c>
      <c r="G6" s="81">
        <f>'Revenue Overview'!H16</f>
        <v>2001532.68</v>
      </c>
      <c r="H6" s="136"/>
      <c r="I6" s="136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428209.2</v>
      </c>
      <c r="F7" s="71">
        <f>'Revenue Overview'!G31</f>
        <v>513851.04</v>
      </c>
      <c r="G7" s="80">
        <f>'Revenue Overview'!H31</f>
        <v>590928.69599999988</v>
      </c>
      <c r="H7" s="137"/>
      <c r="I7" s="137"/>
      <c r="J7" s="115"/>
      <c r="K7" s="112" t="s">
        <v>51</v>
      </c>
      <c r="L7" s="114">
        <f>E6</f>
        <v>1450386</v>
      </c>
      <c r="M7" s="114">
        <f>F6</f>
        <v>1740463.2</v>
      </c>
      <c r="N7" s="114">
        <f>G6</f>
        <v>2001532.68</v>
      </c>
      <c r="O7" s="114"/>
      <c r="P7" s="138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0.7047619047619047</v>
      </c>
      <c r="F8" s="73">
        <f t="shared" ref="F8:G8" si="0">1-(F7/F6)</f>
        <v>0.7047619047619047</v>
      </c>
      <c r="G8" s="134">
        <f t="shared" si="0"/>
        <v>0.70476190476190481</v>
      </c>
      <c r="H8" s="139"/>
      <c r="I8" s="139"/>
      <c r="J8" s="115"/>
      <c r="K8" s="112" t="s">
        <v>76</v>
      </c>
      <c r="L8" s="114">
        <f>E6</f>
        <v>1450386</v>
      </c>
      <c r="M8" s="114">
        <f>F6</f>
        <v>1740463.2</v>
      </c>
      <c r="N8" s="114">
        <f>G6</f>
        <v>2001532.68</v>
      </c>
      <c r="O8" s="114"/>
      <c r="P8" s="138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40"/>
      <c r="I9" s="140"/>
      <c r="J9" s="115"/>
      <c r="K9" s="112"/>
      <c r="L9" s="114"/>
      <c r="M9" s="114"/>
      <c r="N9" s="114"/>
      <c r="O9" s="114"/>
      <c r="P9" s="138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1022176.8</v>
      </c>
      <c r="F10" s="76">
        <f t="shared" ref="F10:G10" si="1">F6-F7</f>
        <v>1226612.1599999999</v>
      </c>
      <c r="G10" s="84">
        <f t="shared" si="1"/>
        <v>1410603.9840000002</v>
      </c>
      <c r="H10" s="136"/>
      <c r="I10" s="136"/>
      <c r="J10" s="115"/>
      <c r="K10" s="112" t="s">
        <v>47</v>
      </c>
      <c r="L10" s="114">
        <f>E23</f>
        <v>261116.49060000014</v>
      </c>
      <c r="M10" s="114">
        <f>F23</f>
        <v>430059.17621999991</v>
      </c>
      <c r="N10" s="114">
        <f>G23</f>
        <v>578382.1861530001</v>
      </c>
      <c r="O10" s="114"/>
      <c r="P10" s="138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40"/>
      <c r="I11" s="140"/>
      <c r="J11" s="115"/>
      <c r="K11" s="112" t="s">
        <v>77</v>
      </c>
      <c r="L11" s="114">
        <f>L10</f>
        <v>261116.49060000014</v>
      </c>
      <c r="M11" s="114">
        <f t="shared" ref="M11:N11" si="2">M10</f>
        <v>430059.17621999991</v>
      </c>
      <c r="N11" s="114">
        <f t="shared" si="2"/>
        <v>578382.1861530001</v>
      </c>
      <c r="O11" s="114"/>
      <c r="P11" s="138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40"/>
      <c r="I12" s="140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577500</v>
      </c>
      <c r="F13" s="78">
        <f>'Personnel - Editable'!I16</f>
        <v>594825</v>
      </c>
      <c r="G13" s="78">
        <f>'Personnel - Editable'!J16</f>
        <v>612669.75</v>
      </c>
      <c r="H13" s="137"/>
      <c r="I13" s="137"/>
      <c r="J13" s="115"/>
      <c r="K13" s="112" t="s">
        <v>75</v>
      </c>
      <c r="L13" s="114">
        <f>E21</f>
        <v>761060.30939999991</v>
      </c>
      <c r="M13" s="114">
        <f>F21</f>
        <v>796552.98378000001</v>
      </c>
      <c r="N13" s="114">
        <f>G21</f>
        <v>832221.79784700007</v>
      </c>
      <c r="O13" s="114"/>
      <c r="P13" s="138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36000</v>
      </c>
      <c r="F14" s="80">
        <f>Inputs!D18</f>
        <v>37080</v>
      </c>
      <c r="G14" s="80">
        <f>Inputs!E18</f>
        <v>38192.400000000001</v>
      </c>
      <c r="H14" s="137"/>
      <c r="I14" s="137"/>
      <c r="J14" s="115"/>
      <c r="K14" s="112" t="s">
        <v>78</v>
      </c>
      <c r="L14" s="114">
        <f>E21</f>
        <v>761060.30939999991</v>
      </c>
      <c r="M14" s="114">
        <f>F21</f>
        <v>796552.98378000001</v>
      </c>
      <c r="N14" s="114">
        <f>G21</f>
        <v>832221.79784700007</v>
      </c>
      <c r="O14" s="114"/>
      <c r="P14" s="138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22771.0602</v>
      </c>
      <c r="F15" s="78">
        <f>Inputs!D19</f>
        <v>27325.272239999998</v>
      </c>
      <c r="G15" s="78">
        <f>Inputs!E19</f>
        <v>31424.063075999995</v>
      </c>
      <c r="H15" s="137"/>
      <c r="I15" s="137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22045.867200000001</v>
      </c>
      <c r="F16" s="80">
        <f>Inputs!D20</f>
        <v>26455.040639999999</v>
      </c>
      <c r="G16" s="80">
        <f>Inputs!E20</f>
        <v>30423.296736</v>
      </c>
      <c r="H16" s="137"/>
      <c r="I16" s="137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34650</v>
      </c>
      <c r="F17" s="78">
        <f>Inputs!D21</f>
        <v>35689.5</v>
      </c>
      <c r="G17" s="78">
        <f>Inputs!E21</f>
        <v>36760.184999999998</v>
      </c>
      <c r="H17" s="137"/>
      <c r="I17" s="137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17404.632000000001</v>
      </c>
      <c r="F18" s="80">
        <f>Inputs!D22</f>
        <v>20885.558399999998</v>
      </c>
      <c r="G18" s="80">
        <f>Inputs!E22</f>
        <v>24018.392159999999</v>
      </c>
      <c r="H18" s="137"/>
      <c r="I18" s="137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6510</v>
      </c>
      <c r="F19" s="78">
        <f>Inputs!D23</f>
        <v>8788.5</v>
      </c>
      <c r="G19" s="78">
        <f>Inputs!E23</f>
        <v>11864.475</v>
      </c>
      <c r="H19" s="137"/>
      <c r="I19" s="137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44178.75</v>
      </c>
      <c r="F20" s="80">
        <f>F13*'Tax Assumptions '!G9</f>
        <v>45504.112499999996</v>
      </c>
      <c r="G20" s="80">
        <f>G13*'Tax Assumptions '!H9</f>
        <v>46869.235874999998</v>
      </c>
      <c r="H20" s="137"/>
      <c r="I20" s="137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761060.30939999991</v>
      </c>
      <c r="F21" s="81">
        <f t="shared" ref="F21:G21" si="3">SUM(F13:F20)</f>
        <v>796552.98378000001</v>
      </c>
      <c r="G21" s="81">
        <f t="shared" si="3"/>
        <v>832221.79784700007</v>
      </c>
      <c r="H21" s="136"/>
      <c r="I21" s="136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40"/>
      <c r="I22" s="140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261116.49060000014</v>
      </c>
      <c r="F23" s="83">
        <f t="shared" ref="F23:G23" si="4">F10-F21</f>
        <v>430059.17621999991</v>
      </c>
      <c r="G23" s="83">
        <f t="shared" si="4"/>
        <v>578382.1861530001</v>
      </c>
      <c r="H23" s="136"/>
      <c r="I23" s="136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36720.086328505087</v>
      </c>
      <c r="F24" s="78">
        <f>(F23-F26-F27)*'Tax Assumptions '!G7</f>
        <v>79394.340884503807</v>
      </c>
      <c r="G24" s="78">
        <f>(G23-G26-G27)*'Tax Assumptions '!H7</f>
        <v>116950.07870397963</v>
      </c>
      <c r="H24" s="137"/>
      <c r="I24" s="137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7344.017265701018</v>
      </c>
      <c r="F25" s="80">
        <f>(F23-F26-F27)*'Tax Assumptions '!G8</f>
        <v>15878.868176900762</v>
      </c>
      <c r="G25" s="80">
        <f>(G23-G26-G27)*'Tax Assumptions '!H8</f>
        <v>23390.015740795927</v>
      </c>
      <c r="H25" s="137"/>
      <c r="I25" s="137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79236.145285979786</v>
      </c>
      <c r="F26" s="78">
        <f>SUM('Loan Amortization Table'!D26:D37)</f>
        <v>77481.812681984666</v>
      </c>
      <c r="G26" s="78">
        <f>SUM('Loan Amortization Table'!D38:D49)</f>
        <v>75581.871337081582</v>
      </c>
      <c r="H26" s="128"/>
      <c r="I26" s="128"/>
    </row>
    <row r="27" spans="4:21">
      <c r="D27" s="70" t="s">
        <v>54</v>
      </c>
      <c r="E27" s="80">
        <v>35000</v>
      </c>
      <c r="F27" s="80">
        <v>35000</v>
      </c>
      <c r="G27" s="80">
        <v>35000</v>
      </c>
      <c r="H27" s="128"/>
      <c r="I27" s="128"/>
    </row>
    <row r="28" spans="4:21">
      <c r="D28" s="82" t="s">
        <v>17</v>
      </c>
      <c r="E28" s="83">
        <f>E23-SUM(E24:E27)</f>
        <v>102816.24171981425</v>
      </c>
      <c r="F28" s="83">
        <f t="shared" ref="F28:G28" si="5">F23-SUM(F24:F27)</f>
        <v>222304.15447661065</v>
      </c>
      <c r="G28" s="83">
        <f t="shared" si="5"/>
        <v>327460.22037114296</v>
      </c>
      <c r="H28" s="132"/>
      <c r="I28" s="132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7"/>
      <c r="I31" s="127"/>
      <c r="K31" s="1"/>
      <c r="L31" s="1"/>
      <c r="M31" s="1"/>
    </row>
    <row r="32" spans="4:21">
      <c r="D32" s="68" t="s">
        <v>51</v>
      </c>
      <c r="E32" s="69">
        <f>E6</f>
        <v>1450386</v>
      </c>
      <c r="F32" s="69">
        <f t="shared" ref="F32:G32" si="6">F6</f>
        <v>1740463.2</v>
      </c>
      <c r="G32" s="81">
        <f t="shared" si="6"/>
        <v>2001532.68</v>
      </c>
      <c r="H32" s="132"/>
      <c r="I32" s="132"/>
    </row>
    <row r="33" spans="4:13">
      <c r="D33" s="70" t="s">
        <v>52</v>
      </c>
      <c r="E33" s="71">
        <f>E7</f>
        <v>428209.2</v>
      </c>
      <c r="F33" s="71">
        <f t="shared" ref="F33:G33" si="7">F7</f>
        <v>513851.04</v>
      </c>
      <c r="G33" s="80">
        <f t="shared" si="7"/>
        <v>590928.69599999988</v>
      </c>
      <c r="H33" s="128"/>
      <c r="I33" s="128"/>
    </row>
    <row r="34" spans="4:13">
      <c r="D34" s="68" t="s">
        <v>10</v>
      </c>
      <c r="E34" s="69">
        <f>E10</f>
        <v>1022176.8</v>
      </c>
      <c r="F34" s="69">
        <f t="shared" ref="F34:G34" si="8">F10</f>
        <v>1226612.1599999999</v>
      </c>
      <c r="G34" s="81">
        <f t="shared" si="8"/>
        <v>1410603.9840000002</v>
      </c>
      <c r="H34" s="132"/>
      <c r="I34" s="132"/>
      <c r="K34" s="1"/>
      <c r="L34" s="1"/>
      <c r="M34" s="1"/>
    </row>
    <row r="35" spans="4:13">
      <c r="D35" s="75" t="s">
        <v>13</v>
      </c>
      <c r="E35" s="84">
        <f>E21</f>
        <v>761060.30939999991</v>
      </c>
      <c r="F35" s="84">
        <f t="shared" ref="F35:G35" si="9">F21</f>
        <v>796552.98378000001</v>
      </c>
      <c r="G35" s="84">
        <f t="shared" si="9"/>
        <v>832221.79784700007</v>
      </c>
      <c r="H35" s="132"/>
      <c r="I35" s="132"/>
    </row>
    <row r="36" spans="4:13">
      <c r="D36" s="82" t="s">
        <v>47</v>
      </c>
      <c r="E36" s="83">
        <f>E23</f>
        <v>261116.49060000014</v>
      </c>
      <c r="F36" s="83">
        <f t="shared" ref="F36:G36" si="10">F23</f>
        <v>430059.17621999991</v>
      </c>
      <c r="G36" s="83">
        <f t="shared" si="10"/>
        <v>578382.1861530001</v>
      </c>
      <c r="H36" s="132"/>
      <c r="I36" s="132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K39" sqref="K39"/>
    </sheetView>
  </sheetViews>
  <sheetFormatPr defaultRowHeight="15"/>
  <cols>
    <col min="4" max="4" width="23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7"/>
      <c r="I5" s="127"/>
    </row>
    <row r="6" spans="4:9">
      <c r="D6" s="68" t="s">
        <v>67</v>
      </c>
      <c r="E6" s="81">
        <f>'Profit and Loss Statement'!E28+'Profit and Loss Statement'!E27</f>
        <v>137816.24171981425</v>
      </c>
      <c r="F6" s="81">
        <f>'Profit and Loss Statement'!F28+'Profit and Loss Statement'!F27</f>
        <v>257304.15447661065</v>
      </c>
      <c r="G6" s="81">
        <f>'Profit and Loss Statement'!G28+'Profit and Loss Statement'!G27</f>
        <v>362460.22037114296</v>
      </c>
      <c r="H6" s="132"/>
      <c r="I6" s="132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250000</v>
      </c>
      <c r="F9" s="87">
        <v>0</v>
      </c>
      <c r="G9" s="87">
        <v>0</v>
      </c>
      <c r="H9" s="131"/>
      <c r="I9" s="131"/>
    </row>
    <row r="10" spans="4:9">
      <c r="D10" s="70" t="s">
        <v>21</v>
      </c>
      <c r="E10" s="88">
        <f>'Use of Funds'!E22</f>
        <v>1000000</v>
      </c>
      <c r="F10" s="88">
        <v>0</v>
      </c>
      <c r="G10" s="88">
        <v>0</v>
      </c>
      <c r="H10" s="131"/>
      <c r="I10" s="131"/>
    </row>
    <row r="11" spans="4:9">
      <c r="D11" s="72" t="s">
        <v>22</v>
      </c>
      <c r="E11" s="78">
        <v>8529</v>
      </c>
      <c r="F11" s="78">
        <f>E11*1.02</f>
        <v>8699.58</v>
      </c>
      <c r="G11" s="78">
        <f>F11*1.02</f>
        <v>8873.5715999999993</v>
      </c>
      <c r="H11" s="128"/>
      <c r="I11" s="128"/>
    </row>
    <row r="12" spans="4:9">
      <c r="D12" s="75" t="s">
        <v>23</v>
      </c>
      <c r="E12" s="89">
        <f>SUM(E9:E11)</f>
        <v>1258529</v>
      </c>
      <c r="F12" s="89">
        <f t="shared" ref="F12:G12" si="0">SUM(F9:F11)</f>
        <v>8699.58</v>
      </c>
      <c r="G12" s="89">
        <f t="shared" si="0"/>
        <v>8873.5715999999993</v>
      </c>
      <c r="H12" s="133"/>
      <c r="I12" s="133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1396345.2417198143</v>
      </c>
      <c r="F15" s="90">
        <f t="shared" ref="F15:G15" si="1">F12+F6</f>
        <v>266003.73447661067</v>
      </c>
      <c r="G15" s="90">
        <f t="shared" si="1"/>
        <v>371333.79197114299</v>
      </c>
      <c r="H15" s="133"/>
      <c r="I15" s="133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21136.66299323575</v>
      </c>
      <c r="F18" s="80">
        <f>SUM('Loan Amortization Table'!C26:C37)</f>
        <v>22890.995597230882</v>
      </c>
      <c r="G18" s="80">
        <f>SUM('Loan Amortization Table'!C38:C49)</f>
        <v>24790.936942133947</v>
      </c>
      <c r="H18" s="128"/>
      <c r="I18" s="128"/>
    </row>
    <row r="19" spans="4:9">
      <c r="D19" s="72" t="s">
        <v>25</v>
      </c>
      <c r="E19" s="78">
        <f>E11*0.7</f>
        <v>5970.2999999999993</v>
      </c>
      <c r="F19" s="78">
        <f t="shared" ref="F19:G19" si="2">F11*0.7</f>
        <v>6089.7059999999992</v>
      </c>
      <c r="G19" s="78">
        <f t="shared" si="2"/>
        <v>6211.5001199999988</v>
      </c>
      <c r="H19" s="128"/>
      <c r="I19" s="128"/>
    </row>
    <row r="20" spans="4:9">
      <c r="D20" s="70" t="s">
        <v>33</v>
      </c>
      <c r="E20" s="80">
        <f>'Use of Funds'!$E$6</f>
        <v>1120000</v>
      </c>
      <c r="F20" s="80">
        <v>0</v>
      </c>
      <c r="G20" s="80">
        <v>0</v>
      </c>
      <c r="H20" s="128"/>
      <c r="I20" s="128"/>
    </row>
    <row r="21" spans="4:9">
      <c r="D21" s="72" t="s">
        <v>32</v>
      </c>
      <c r="E21" s="78">
        <f>E6*0.7</f>
        <v>96471.369203869966</v>
      </c>
      <c r="F21" s="78">
        <f t="shared" ref="F21:G21" si="3">F6*0.7</f>
        <v>180112.90813362744</v>
      </c>
      <c r="G21" s="78">
        <f t="shared" si="3"/>
        <v>253722.15425980007</v>
      </c>
      <c r="H21" s="128"/>
      <c r="I21" s="128"/>
    </row>
    <row r="22" spans="4:9">
      <c r="D22" s="75" t="s">
        <v>26</v>
      </c>
      <c r="E22" s="84">
        <f>SUM(E18:E21)</f>
        <v>1243578.3321971057</v>
      </c>
      <c r="F22" s="84">
        <f t="shared" ref="F22:G22" si="4">SUM(F18:F21)</f>
        <v>209093.60973085833</v>
      </c>
      <c r="G22" s="84">
        <f t="shared" si="4"/>
        <v>284724.59132193401</v>
      </c>
      <c r="H22" s="132"/>
      <c r="I22" s="132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152766.90952270851</v>
      </c>
      <c r="F24" s="91">
        <f t="shared" ref="F24:G24" si="5">F15-F22</f>
        <v>56910.124745752342</v>
      </c>
      <c r="G24" s="91">
        <f t="shared" si="5"/>
        <v>86609.200649208971</v>
      </c>
      <c r="H24" s="133"/>
      <c r="I24" s="133"/>
    </row>
    <row r="25" spans="4:9">
      <c r="D25" s="82" t="s">
        <v>6</v>
      </c>
      <c r="E25" s="91">
        <f>E24</f>
        <v>152766.90952270851</v>
      </c>
      <c r="F25" s="91">
        <f>E25+F24</f>
        <v>209677.03426846085</v>
      </c>
      <c r="G25" s="91">
        <f>F25+G24</f>
        <v>296286.23491766979</v>
      </c>
      <c r="H25" s="133"/>
      <c r="I25" s="133"/>
    </row>
    <row r="28" spans="4:9">
      <c r="D28" s="112" t="s">
        <v>79</v>
      </c>
      <c r="E28" s="114">
        <f>E6</f>
        <v>137816.24171981425</v>
      </c>
      <c r="F28" s="114">
        <f t="shared" ref="F28:G28" si="6">F6</f>
        <v>257304.15447661065</v>
      </c>
      <c r="G28" s="114">
        <f t="shared" si="6"/>
        <v>362460.22037114296</v>
      </c>
      <c r="H28" s="1"/>
      <c r="I28" s="1"/>
    </row>
    <row r="29" spans="4:9">
      <c r="D29" s="112" t="s">
        <v>80</v>
      </c>
      <c r="E29" s="114">
        <f>E18</f>
        <v>21136.66299323575</v>
      </c>
      <c r="F29" s="114">
        <f t="shared" ref="F29:G29" si="7">F18</f>
        <v>22890.995597230882</v>
      </c>
      <c r="G29" s="114">
        <f t="shared" si="7"/>
        <v>24790.936942133947</v>
      </c>
      <c r="H29" s="1"/>
      <c r="I29" s="1"/>
    </row>
    <row r="30" spans="4:9">
      <c r="D30" s="112" t="s">
        <v>81</v>
      </c>
      <c r="E30" s="114">
        <f>E21</f>
        <v>96471.369203869966</v>
      </c>
      <c r="F30" s="114">
        <f t="shared" ref="F30:G30" si="8">F21</f>
        <v>180112.90813362744</v>
      </c>
      <c r="G30" s="114">
        <f t="shared" si="8"/>
        <v>253722.15425980007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U11" sqref="U11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7"/>
      <c r="I5" s="127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152766.90952270851</v>
      </c>
      <c r="F7" s="78">
        <f>'Cash Flow Analysis'!F25</f>
        <v>209677.03426846085</v>
      </c>
      <c r="G7" s="78">
        <f>'Cash Flow Analysis'!G25</f>
        <v>296286.23491766979</v>
      </c>
      <c r="H7" s="128"/>
      <c r="I7" s="128"/>
    </row>
    <row r="8" spans="4:9">
      <c r="D8" s="66" t="s">
        <v>122</v>
      </c>
      <c r="E8" s="94">
        <f>'Cash Flow Analysis'!E20</f>
        <v>1120000</v>
      </c>
      <c r="F8" s="94">
        <f>E8+'Cash Flow Analysis'!F20</f>
        <v>1120000</v>
      </c>
      <c r="G8" s="94">
        <f>F8+'Cash Flow Analysis'!G20</f>
        <v>1120000</v>
      </c>
      <c r="H8" s="128"/>
      <c r="I8" s="128"/>
    </row>
    <row r="9" spans="4:9">
      <c r="D9" s="72" t="s">
        <v>48</v>
      </c>
      <c r="E9" s="87">
        <f>-'Profit and Loss Statement'!E27</f>
        <v>-35000</v>
      </c>
      <c r="F9" s="87">
        <f>E9-'Profit and Loss Statement'!F27</f>
        <v>-70000</v>
      </c>
      <c r="G9" s="87">
        <f>F9-'Profit and Loss Statement'!G27</f>
        <v>-105000</v>
      </c>
      <c r="H9" s="131"/>
      <c r="I9" s="131"/>
    </row>
    <row r="10" spans="4:9">
      <c r="D10" s="95" t="s">
        <v>7</v>
      </c>
      <c r="E10" s="96">
        <f>SUM(E7:E9)</f>
        <v>1237766.9095227085</v>
      </c>
      <c r="F10" s="96">
        <f t="shared" ref="F10:G10" si="0">SUM(F7:F9)</f>
        <v>1259677.0342684609</v>
      </c>
      <c r="G10" s="96">
        <f t="shared" si="0"/>
        <v>1311286.2349176698</v>
      </c>
      <c r="H10" s="132"/>
      <c r="I10" s="132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2558.7000000000007</v>
      </c>
      <c r="F13" s="78">
        <f>E13+('Cash Flow Analysis'!F11-'Cash Flow Analysis'!F19)</f>
        <v>5168.5740000000014</v>
      </c>
      <c r="G13" s="78">
        <f>F13+('Cash Flow Analysis'!G11-'Cash Flow Analysis'!G19)</f>
        <v>7830.645480000002</v>
      </c>
      <c r="H13" s="128"/>
      <c r="I13" s="128"/>
    </row>
    <row r="14" spans="4:9">
      <c r="D14" s="66" t="s">
        <v>73</v>
      </c>
      <c r="E14" s="94">
        <f>'Loan Amortization Table'!E25</f>
        <v>978863.33700676437</v>
      </c>
      <c r="F14" s="94">
        <f>'Loan Amortization Table'!E37</f>
        <v>955972.3414095334</v>
      </c>
      <c r="G14" s="94">
        <f>'Loan Amortization Table'!E49</f>
        <v>931181.40446739958</v>
      </c>
      <c r="H14" s="128"/>
      <c r="I14" s="128"/>
    </row>
    <row r="15" spans="4:9">
      <c r="D15" s="68" t="s">
        <v>30</v>
      </c>
      <c r="E15" s="81">
        <f>SUM(E13:E14)</f>
        <v>981422.03700676432</v>
      </c>
      <c r="F15" s="81">
        <f t="shared" ref="F15:G15" si="1">SUM(F13:F14)</f>
        <v>961140.91540953342</v>
      </c>
      <c r="G15" s="81">
        <f t="shared" si="1"/>
        <v>939012.04994739953</v>
      </c>
      <c r="H15" s="132"/>
      <c r="I15" s="132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256344.87251594418</v>
      </c>
      <c r="F17" s="83">
        <f t="shared" ref="F17:G17" si="2">F10-F15</f>
        <v>298536.11885892751</v>
      </c>
      <c r="G17" s="83">
        <f t="shared" si="2"/>
        <v>372274.18497027026</v>
      </c>
      <c r="H17" s="132"/>
      <c r="I17" s="132"/>
    </row>
    <row r="18" spans="4:9">
      <c r="D18" s="82" t="s">
        <v>31</v>
      </c>
      <c r="E18" s="83">
        <f>E15+E17</f>
        <v>1237766.9095227085</v>
      </c>
      <c r="F18" s="83">
        <f t="shared" ref="F18:G18" si="3">F15+F17</f>
        <v>1259677.0342684609</v>
      </c>
      <c r="G18" s="83">
        <f t="shared" si="3"/>
        <v>1311286.2349176698</v>
      </c>
      <c r="H18" s="132"/>
      <c r="I18" s="132"/>
    </row>
    <row r="21" spans="4:9">
      <c r="D21" s="112" t="s">
        <v>82</v>
      </c>
      <c r="E21" s="114">
        <f>E10-1</f>
        <v>1237765.9095227085</v>
      </c>
      <c r="F21" s="114">
        <f t="shared" ref="F21:G21" si="4">F10-1</f>
        <v>1259676.0342684609</v>
      </c>
      <c r="G21" s="114">
        <f t="shared" si="4"/>
        <v>1311285.2349176698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981422.03700676432</v>
      </c>
      <c r="F22" s="114">
        <f t="shared" ref="F22:G22" si="6">F15</f>
        <v>961140.91540953342</v>
      </c>
      <c r="G22" s="114">
        <f t="shared" si="6"/>
        <v>939012.04994739953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256344.87251594418</v>
      </c>
      <c r="F23" s="114">
        <f t="shared" ref="F23:G23" si="8">F17</f>
        <v>298536.11885892751</v>
      </c>
      <c r="G23" s="114">
        <f t="shared" si="8"/>
        <v>372274.18497027026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workbookViewId="0">
      <selection activeCell="T7" sqref="T7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120750</v>
      </c>
      <c r="D6" s="6">
        <f>Inputs!D42</f>
        <v>120771</v>
      </c>
      <c r="E6" s="6">
        <f>Inputs!E42</f>
        <v>120792</v>
      </c>
      <c r="F6" s="6">
        <f>Inputs!F42</f>
        <v>120813</v>
      </c>
      <c r="G6" s="6">
        <f>Inputs!G42</f>
        <v>120834</v>
      </c>
      <c r="H6" s="6">
        <f>Inputs!H42</f>
        <v>120855</v>
      </c>
      <c r="I6" s="6">
        <f>Inputs!I42</f>
        <v>120876</v>
      </c>
    </row>
    <row r="7" spans="2:9">
      <c r="B7" s="31" t="s">
        <v>52</v>
      </c>
      <c r="C7" s="6">
        <f>Inputs!C61</f>
        <v>35650</v>
      </c>
      <c r="D7" s="6">
        <f>Inputs!D61</f>
        <v>35656.199999999997</v>
      </c>
      <c r="E7" s="6">
        <f>Inputs!E61</f>
        <v>35662.400000000001</v>
      </c>
      <c r="F7" s="6">
        <f>Inputs!F61</f>
        <v>35668.6</v>
      </c>
      <c r="G7" s="6">
        <f>Inputs!G61</f>
        <v>35674.800000000003</v>
      </c>
      <c r="H7" s="6">
        <f>Inputs!H61</f>
        <v>35681</v>
      </c>
      <c r="I7" s="6">
        <f>Inputs!I61</f>
        <v>35687.199999999997</v>
      </c>
    </row>
    <row r="8" spans="2:9">
      <c r="B8" s="29" t="s">
        <v>12</v>
      </c>
      <c r="C8" s="17">
        <f>1-(C7/C6)</f>
        <v>0.7047619047619047</v>
      </c>
      <c r="D8" s="17">
        <f t="shared" ref="D8:I8" si="1">1-(D7/D6)</f>
        <v>0.70476190476190481</v>
      </c>
      <c r="E8" s="17">
        <f t="shared" si="1"/>
        <v>0.7047619047619047</v>
      </c>
      <c r="F8" s="17">
        <f t="shared" si="1"/>
        <v>0.7047619047619047</v>
      </c>
      <c r="G8" s="17">
        <f t="shared" si="1"/>
        <v>0.7047619047619047</v>
      </c>
      <c r="H8" s="17">
        <f t="shared" si="1"/>
        <v>0.7047619047619047</v>
      </c>
      <c r="I8" s="17">
        <f t="shared" si="1"/>
        <v>0.70476190476190481</v>
      </c>
    </row>
    <row r="9" spans="2:9">
      <c r="B9" s="30"/>
    </row>
    <row r="10" spans="2:9">
      <c r="B10" s="37" t="s">
        <v>10</v>
      </c>
      <c r="C10" s="6">
        <f>C6-C7</f>
        <v>85100</v>
      </c>
      <c r="D10" s="6">
        <f t="shared" ref="D10:I10" si="2">D6-D7</f>
        <v>85114.8</v>
      </c>
      <c r="E10" s="6">
        <f t="shared" si="2"/>
        <v>85129.600000000006</v>
      </c>
      <c r="F10" s="6">
        <f t="shared" si="2"/>
        <v>85144.4</v>
      </c>
      <c r="G10" s="6">
        <f t="shared" si="2"/>
        <v>85159.2</v>
      </c>
      <c r="H10" s="6">
        <f t="shared" si="2"/>
        <v>85174</v>
      </c>
      <c r="I10" s="6">
        <f t="shared" si="2"/>
        <v>85188.800000000003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48125</v>
      </c>
      <c r="D13" s="6">
        <f t="shared" ref="D13:I13" si="3">$H$41/12</f>
        <v>48125</v>
      </c>
      <c r="E13" s="6">
        <f t="shared" si="3"/>
        <v>48125</v>
      </c>
      <c r="F13" s="6">
        <f t="shared" si="3"/>
        <v>48125</v>
      </c>
      <c r="G13" s="6">
        <f t="shared" si="3"/>
        <v>48125</v>
      </c>
      <c r="H13" s="6">
        <f t="shared" si="3"/>
        <v>48125</v>
      </c>
      <c r="I13" s="6">
        <f t="shared" si="3"/>
        <v>48125</v>
      </c>
    </row>
    <row r="14" spans="2:9">
      <c r="B14" s="33" t="str">
        <f>'Profit and Loss Statement'!D14</f>
        <v>Facility Costs</v>
      </c>
      <c r="C14" s="6">
        <f>$H$42/12</f>
        <v>3000</v>
      </c>
      <c r="D14" s="6">
        <f t="shared" ref="D14:I14" si="4">$H$42/12</f>
        <v>3000</v>
      </c>
      <c r="E14" s="6">
        <f t="shared" si="4"/>
        <v>3000</v>
      </c>
      <c r="F14" s="6">
        <f t="shared" si="4"/>
        <v>3000</v>
      </c>
      <c r="G14" s="6">
        <f t="shared" si="4"/>
        <v>3000</v>
      </c>
      <c r="H14" s="6">
        <f t="shared" si="4"/>
        <v>3000</v>
      </c>
      <c r="I14" s="6">
        <f t="shared" si="4"/>
        <v>3000</v>
      </c>
    </row>
    <row r="15" spans="2:9">
      <c r="B15" s="33" t="str">
        <f>'Profit and Loss Statement'!D15</f>
        <v>General and Administrative</v>
      </c>
      <c r="C15" s="6">
        <f>$H$43/12</f>
        <v>1897.58835</v>
      </c>
      <c r="D15" s="6">
        <f t="shared" ref="D15:I15" si="5">$H$43/12</f>
        <v>1897.58835</v>
      </c>
      <c r="E15" s="6">
        <f t="shared" si="5"/>
        <v>1897.58835</v>
      </c>
      <c r="F15" s="6">
        <f t="shared" si="5"/>
        <v>1897.58835</v>
      </c>
      <c r="G15" s="6">
        <f t="shared" si="5"/>
        <v>1897.58835</v>
      </c>
      <c r="H15" s="6">
        <f t="shared" si="5"/>
        <v>1897.58835</v>
      </c>
      <c r="I15" s="6">
        <f t="shared" si="5"/>
        <v>1897.58835</v>
      </c>
    </row>
    <row r="16" spans="2:9">
      <c r="B16" s="33" t="str">
        <f>'Profit and Loss Statement'!D16</f>
        <v>Equipment Costs</v>
      </c>
      <c r="C16" s="6">
        <f>$H$44/12</f>
        <v>1837.1556</v>
      </c>
      <c r="D16" s="6">
        <f t="shared" ref="D16:I16" si="6">$H$44/12</f>
        <v>1837.1556</v>
      </c>
      <c r="E16" s="6">
        <f t="shared" si="6"/>
        <v>1837.1556</v>
      </c>
      <c r="F16" s="6">
        <f t="shared" si="6"/>
        <v>1837.1556</v>
      </c>
      <c r="G16" s="6">
        <f t="shared" si="6"/>
        <v>1837.1556</v>
      </c>
      <c r="H16" s="6">
        <f t="shared" si="6"/>
        <v>1837.1556</v>
      </c>
      <c r="I16" s="6">
        <f t="shared" si="6"/>
        <v>1837.1556</v>
      </c>
    </row>
    <row r="17" spans="2:9">
      <c r="B17" s="33" t="str">
        <f>'Profit and Loss Statement'!D17</f>
        <v>Insurance Costs</v>
      </c>
      <c r="C17" s="6">
        <f>$H$45/12</f>
        <v>2887.5</v>
      </c>
      <c r="D17" s="6">
        <f t="shared" ref="D17:I17" si="7">$H$45/12</f>
        <v>2887.5</v>
      </c>
      <c r="E17" s="6">
        <f t="shared" si="7"/>
        <v>2887.5</v>
      </c>
      <c r="F17" s="6">
        <f t="shared" si="7"/>
        <v>2887.5</v>
      </c>
      <c r="G17" s="6">
        <f t="shared" si="7"/>
        <v>2887.5</v>
      </c>
      <c r="H17" s="6">
        <f t="shared" si="7"/>
        <v>2887.5</v>
      </c>
      <c r="I17" s="6">
        <f t="shared" si="7"/>
        <v>2887.5</v>
      </c>
    </row>
    <row r="18" spans="2:9">
      <c r="B18" s="33" t="str">
        <f>'Profit and Loss Statement'!D18</f>
        <v>Marketing</v>
      </c>
      <c r="C18" s="6">
        <f>$H$46/12</f>
        <v>1450.3860000000002</v>
      </c>
      <c r="D18" s="6">
        <f t="shared" ref="D18:I18" si="8">$H$46/12</f>
        <v>1450.3860000000002</v>
      </c>
      <c r="E18" s="6">
        <f t="shared" si="8"/>
        <v>1450.3860000000002</v>
      </c>
      <c r="F18" s="6">
        <f t="shared" si="8"/>
        <v>1450.3860000000002</v>
      </c>
      <c r="G18" s="6">
        <f t="shared" si="8"/>
        <v>1450.3860000000002</v>
      </c>
      <c r="H18" s="6">
        <f t="shared" si="8"/>
        <v>1450.3860000000002</v>
      </c>
      <c r="I18" s="6">
        <f t="shared" si="8"/>
        <v>1450.3860000000002</v>
      </c>
    </row>
    <row r="19" spans="2:9">
      <c r="B19" s="33" t="str">
        <f>'Profit and Loss Statement'!D19</f>
        <v>Professional Fees and Licensure</v>
      </c>
      <c r="C19" s="6">
        <f>$H$47/12</f>
        <v>542.5</v>
      </c>
      <c r="D19" s="6">
        <f t="shared" ref="D19:I19" si="9">$H$47/12</f>
        <v>542.5</v>
      </c>
      <c r="E19" s="6">
        <f t="shared" si="9"/>
        <v>542.5</v>
      </c>
      <c r="F19" s="6">
        <f t="shared" si="9"/>
        <v>542.5</v>
      </c>
      <c r="G19" s="6">
        <f t="shared" si="9"/>
        <v>542.5</v>
      </c>
      <c r="H19" s="6">
        <f t="shared" si="9"/>
        <v>542.5</v>
      </c>
      <c r="I19" s="6">
        <f t="shared" si="9"/>
        <v>542.5</v>
      </c>
    </row>
    <row r="20" spans="2:9">
      <c r="B20" s="29" t="s">
        <v>14</v>
      </c>
      <c r="C20" s="6">
        <f>$H$48/12</f>
        <v>3681.5625</v>
      </c>
      <c r="D20" s="6">
        <f t="shared" ref="D20:I20" si="10">$H$48/12</f>
        <v>3681.5625</v>
      </c>
      <c r="E20" s="6">
        <f t="shared" si="10"/>
        <v>3681.5625</v>
      </c>
      <c r="F20" s="6">
        <f t="shared" si="10"/>
        <v>3681.5625</v>
      </c>
      <c r="G20" s="6">
        <f t="shared" si="10"/>
        <v>3681.5625</v>
      </c>
      <c r="H20" s="6">
        <f t="shared" si="10"/>
        <v>3681.5625</v>
      </c>
      <c r="I20" s="6">
        <f t="shared" si="10"/>
        <v>3681.5625</v>
      </c>
    </row>
    <row r="21" spans="2:9">
      <c r="B21" s="28" t="s">
        <v>8</v>
      </c>
      <c r="C21" s="6">
        <f>SUM(C13:C20)</f>
        <v>63421.692449999995</v>
      </c>
      <c r="D21" s="6">
        <f t="shared" ref="D21:I21" si="11">SUM(D13:D20)</f>
        <v>63421.692449999995</v>
      </c>
      <c r="E21" s="6">
        <f t="shared" si="11"/>
        <v>63421.692449999995</v>
      </c>
      <c r="F21" s="6">
        <f t="shared" si="11"/>
        <v>63421.692449999995</v>
      </c>
      <c r="G21" s="6">
        <f t="shared" si="11"/>
        <v>63421.692449999995</v>
      </c>
      <c r="H21" s="6">
        <f t="shared" si="11"/>
        <v>63421.692449999995</v>
      </c>
      <c r="I21" s="6">
        <f t="shared" si="11"/>
        <v>63421.692449999995</v>
      </c>
    </row>
    <row r="22" spans="2:9">
      <c r="B22" s="30"/>
    </row>
    <row r="23" spans="2:9">
      <c r="B23" s="24" t="s">
        <v>47</v>
      </c>
      <c r="C23" s="25">
        <f>C10-C21</f>
        <v>21678.307550000005</v>
      </c>
      <c r="D23" s="25">
        <f t="shared" ref="D23:I23" si="12">D10-D21</f>
        <v>21693.107550000008</v>
      </c>
      <c r="E23" s="25">
        <f t="shared" si="12"/>
        <v>21707.907550000011</v>
      </c>
      <c r="F23" s="25">
        <f t="shared" si="12"/>
        <v>21722.707549999999</v>
      </c>
      <c r="G23" s="25">
        <f t="shared" si="12"/>
        <v>21737.507550000002</v>
      </c>
      <c r="H23" s="25">
        <f t="shared" si="12"/>
        <v>21752.307550000005</v>
      </c>
      <c r="I23" s="25">
        <f t="shared" si="12"/>
        <v>21767.107550000008</v>
      </c>
    </row>
    <row r="24" spans="2:9">
      <c r="B24" s="29" t="s">
        <v>15</v>
      </c>
      <c r="C24" s="6">
        <f>(C6/$H$34)*$H$52</f>
        <v>3057.0830276677998</v>
      </c>
      <c r="D24" s="6">
        <f t="shared" ref="D24:I24" si="13">(D6/$H$34)*$H$52</f>
        <v>3057.6146942813075</v>
      </c>
      <c r="E24" s="6">
        <f t="shared" si="13"/>
        <v>3058.1463608948143</v>
      </c>
      <c r="F24" s="6">
        <f t="shared" si="13"/>
        <v>3058.678027508322</v>
      </c>
      <c r="G24" s="6">
        <f t="shared" si="13"/>
        <v>3059.2096941218297</v>
      </c>
      <c r="H24" s="6">
        <f t="shared" si="13"/>
        <v>3059.7413607353365</v>
      </c>
      <c r="I24" s="6">
        <f t="shared" si="13"/>
        <v>3060.2730273488442</v>
      </c>
    </row>
    <row r="25" spans="2:9">
      <c r="B25" s="29" t="s">
        <v>102</v>
      </c>
      <c r="C25" s="6">
        <f>(C6/$H$34)*$H$53</f>
        <v>611.41660553355996</v>
      </c>
      <c r="D25" s="6">
        <f t="shared" ref="D25:I25" si="14">(D6/$H$34)*$H$53</f>
        <v>611.52293885626148</v>
      </c>
      <c r="E25" s="6">
        <f t="shared" si="14"/>
        <v>611.62927217896288</v>
      </c>
      <c r="F25" s="6">
        <f t="shared" si="14"/>
        <v>611.73560550166439</v>
      </c>
      <c r="G25" s="6">
        <f t="shared" si="14"/>
        <v>611.84193882436591</v>
      </c>
      <c r="H25" s="6">
        <f t="shared" si="14"/>
        <v>611.94827214706743</v>
      </c>
      <c r="I25" s="6">
        <f t="shared" si="14"/>
        <v>612.05460546976894</v>
      </c>
    </row>
    <row r="26" spans="2:9">
      <c r="B26" s="29" t="s">
        <v>16</v>
      </c>
      <c r="C26" s="6">
        <f>'Loan Amortization Table'!D14</f>
        <v>6666.666666666667</v>
      </c>
      <c r="D26" s="6">
        <f>'Loan Amortization Table'!D15</f>
        <v>6655.3484398448809</v>
      </c>
      <c r="E26" s="6">
        <f>'Loan Amortization Table'!D16</f>
        <v>6643.954758177616</v>
      </c>
      <c r="F26" s="6">
        <f>'Loan Amortization Table'!D17</f>
        <v>6632.4851186325695</v>
      </c>
      <c r="G26" s="6">
        <f>'Loan Amortization Table'!D18</f>
        <v>6620.939014823889</v>
      </c>
      <c r="H26" s="6">
        <f>'Loan Amortization Table'!D19</f>
        <v>6609.3159369898176</v>
      </c>
      <c r="I26" s="6">
        <f>'Loan Amortization Table'!D20</f>
        <v>6597.6153719701852</v>
      </c>
    </row>
    <row r="27" spans="2:9">
      <c r="B27" s="29" t="s">
        <v>54</v>
      </c>
      <c r="C27" s="6">
        <f>$H$55/12</f>
        <v>2916.6666666666665</v>
      </c>
      <c r="D27" s="6">
        <f t="shared" ref="D27:I27" si="15">$H$55/12</f>
        <v>2916.6666666666665</v>
      </c>
      <c r="E27" s="6">
        <f t="shared" si="15"/>
        <v>2916.6666666666665</v>
      </c>
      <c r="F27" s="6">
        <f t="shared" si="15"/>
        <v>2916.6666666666665</v>
      </c>
      <c r="G27" s="6">
        <f t="shared" si="15"/>
        <v>2916.6666666666665</v>
      </c>
      <c r="H27" s="6">
        <f t="shared" si="15"/>
        <v>2916.6666666666665</v>
      </c>
      <c r="I27" s="6">
        <f t="shared" si="15"/>
        <v>2916.6666666666665</v>
      </c>
    </row>
    <row r="28" spans="2:9">
      <c r="B28" s="38" t="s">
        <v>17</v>
      </c>
      <c r="C28" s="39">
        <f>C23-SUM(C24:C27)</f>
        <v>8426.4745834653131</v>
      </c>
      <c r="D28" s="39">
        <f t="shared" ref="D28:I28" si="16">D23-SUM(D24:D27)</f>
        <v>8451.9548103508914</v>
      </c>
      <c r="E28" s="39">
        <f t="shared" si="16"/>
        <v>8477.5104920819522</v>
      </c>
      <c r="F28" s="39">
        <f t="shared" si="16"/>
        <v>8503.1421316907781</v>
      </c>
      <c r="G28" s="39">
        <f t="shared" si="16"/>
        <v>8528.8502355632518</v>
      </c>
      <c r="H28" s="39">
        <f t="shared" si="16"/>
        <v>8554.6353134611181</v>
      </c>
      <c r="I28" s="39">
        <f t="shared" si="16"/>
        <v>8580.4978785445437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120897</v>
      </c>
      <c r="D34" s="6">
        <f>Inputs!K42</f>
        <v>120918</v>
      </c>
      <c r="E34" s="6">
        <f>Inputs!L42</f>
        <v>120939</v>
      </c>
      <c r="F34" s="6">
        <f>Inputs!M42</f>
        <v>120960</v>
      </c>
      <c r="G34" s="6">
        <f>Inputs!N42</f>
        <v>120981</v>
      </c>
      <c r="H34" s="6">
        <f>'Profit and Loss Statement'!E6</f>
        <v>1450386</v>
      </c>
    </row>
    <row r="35" spans="2:8">
      <c r="B35" s="31" t="s">
        <v>52</v>
      </c>
      <c r="C35" s="6">
        <f>Inputs!J61</f>
        <v>35693.4</v>
      </c>
      <c r="D35" s="6">
        <f>Inputs!K61</f>
        <v>35699.599999999999</v>
      </c>
      <c r="E35" s="6">
        <f>Inputs!L61</f>
        <v>35705.800000000003</v>
      </c>
      <c r="F35" s="6">
        <f>Inputs!M61</f>
        <v>35712</v>
      </c>
      <c r="G35" s="6">
        <f>Inputs!N61</f>
        <v>35718.199999999997</v>
      </c>
      <c r="H35" s="6">
        <f>'Profit and Loss Statement'!E7</f>
        <v>428209.2</v>
      </c>
    </row>
    <row r="36" spans="2:8">
      <c r="B36" s="29" t="s">
        <v>12</v>
      </c>
      <c r="C36" s="17">
        <f>1-(C35/C34)</f>
        <v>0.7047619047619047</v>
      </c>
      <c r="D36" s="17">
        <f t="shared" ref="D36:H36" si="18">1-(D35/D34)</f>
        <v>0.7047619047619047</v>
      </c>
      <c r="E36" s="17">
        <f t="shared" si="18"/>
        <v>0.7047619047619047</v>
      </c>
      <c r="F36" s="17">
        <f t="shared" si="18"/>
        <v>0.7047619047619047</v>
      </c>
      <c r="G36" s="17">
        <f t="shared" si="18"/>
        <v>0.70476190476190481</v>
      </c>
      <c r="H36" s="17">
        <f t="shared" si="18"/>
        <v>0.7047619047619047</v>
      </c>
    </row>
    <row r="37" spans="2:8">
      <c r="B37" s="30"/>
    </row>
    <row r="38" spans="2:8">
      <c r="B38" s="37" t="s">
        <v>10</v>
      </c>
      <c r="C38" s="6">
        <f>C34-C35</f>
        <v>85203.6</v>
      </c>
      <c r="D38" s="6">
        <f t="shared" ref="D38:H38" si="19">D34-D35</f>
        <v>85218.4</v>
      </c>
      <c r="E38" s="6">
        <f t="shared" si="19"/>
        <v>85233.2</v>
      </c>
      <c r="F38" s="6">
        <f t="shared" si="19"/>
        <v>85248</v>
      </c>
      <c r="G38" s="6">
        <f t="shared" si="19"/>
        <v>85262.8</v>
      </c>
      <c r="H38" s="6">
        <f t="shared" si="19"/>
        <v>1022176.8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48125</v>
      </c>
      <c r="D41" s="6">
        <f t="shared" ref="D41:G41" si="20">$H$41/12</f>
        <v>48125</v>
      </c>
      <c r="E41" s="6">
        <f t="shared" si="20"/>
        <v>48125</v>
      </c>
      <c r="F41" s="6">
        <f t="shared" si="20"/>
        <v>48125</v>
      </c>
      <c r="G41" s="6">
        <f t="shared" si="20"/>
        <v>48125</v>
      </c>
      <c r="H41" s="6">
        <f>'Profit and Loss Statement'!E13</f>
        <v>577500</v>
      </c>
    </row>
    <row r="42" spans="2:8">
      <c r="B42" s="33" t="str">
        <f>B14</f>
        <v>Facility Costs</v>
      </c>
      <c r="C42" s="6">
        <f>$H$42/12</f>
        <v>3000</v>
      </c>
      <c r="D42" s="6">
        <f t="shared" ref="D42:G42" si="21">$H$42/12</f>
        <v>3000</v>
      </c>
      <c r="E42" s="6">
        <f t="shared" si="21"/>
        <v>3000</v>
      </c>
      <c r="F42" s="6">
        <f t="shared" si="21"/>
        <v>3000</v>
      </c>
      <c r="G42" s="6">
        <f t="shared" si="21"/>
        <v>3000</v>
      </c>
      <c r="H42" s="6">
        <f>'Profit and Loss Statement'!E14</f>
        <v>36000</v>
      </c>
    </row>
    <row r="43" spans="2:8">
      <c r="B43" s="33" t="str">
        <f t="shared" ref="B43:B47" si="22">B15</f>
        <v>General and Administrative</v>
      </c>
      <c r="C43" s="6">
        <f>$H$43/12</f>
        <v>1897.58835</v>
      </c>
      <c r="D43" s="6">
        <f t="shared" ref="D43:G43" si="23">$H$43/12</f>
        <v>1897.58835</v>
      </c>
      <c r="E43" s="6">
        <f t="shared" si="23"/>
        <v>1897.58835</v>
      </c>
      <c r="F43" s="6">
        <f t="shared" si="23"/>
        <v>1897.58835</v>
      </c>
      <c r="G43" s="6">
        <f t="shared" si="23"/>
        <v>1897.58835</v>
      </c>
      <c r="H43" s="6">
        <f>'Profit and Loss Statement'!E15</f>
        <v>22771.0602</v>
      </c>
    </row>
    <row r="44" spans="2:8">
      <c r="B44" s="33" t="str">
        <f t="shared" si="22"/>
        <v>Equipment Costs</v>
      </c>
      <c r="C44" s="6">
        <f>$H$44/12</f>
        <v>1837.1556</v>
      </c>
      <c r="D44" s="6">
        <f t="shared" ref="D44:G44" si="24">$H$44/12</f>
        <v>1837.1556</v>
      </c>
      <c r="E44" s="6">
        <f t="shared" si="24"/>
        <v>1837.1556</v>
      </c>
      <c r="F44" s="6">
        <f t="shared" si="24"/>
        <v>1837.1556</v>
      </c>
      <c r="G44" s="6">
        <f t="shared" si="24"/>
        <v>1837.1556</v>
      </c>
      <c r="H44" s="6">
        <f>'Profit and Loss Statement'!E16</f>
        <v>22045.867200000001</v>
      </c>
    </row>
    <row r="45" spans="2:8">
      <c r="B45" s="33" t="str">
        <f t="shared" si="22"/>
        <v>Insurance Costs</v>
      </c>
      <c r="C45" s="6">
        <f>$H$45/12</f>
        <v>2887.5</v>
      </c>
      <c r="D45" s="6">
        <f t="shared" ref="D45:G45" si="25">$H$45/12</f>
        <v>2887.5</v>
      </c>
      <c r="E45" s="6">
        <f t="shared" si="25"/>
        <v>2887.5</v>
      </c>
      <c r="F45" s="6">
        <f t="shared" si="25"/>
        <v>2887.5</v>
      </c>
      <c r="G45" s="6">
        <f t="shared" si="25"/>
        <v>2887.5</v>
      </c>
      <c r="H45" s="6">
        <f>'Profit and Loss Statement'!E17</f>
        <v>34650</v>
      </c>
    </row>
    <row r="46" spans="2:8">
      <c r="B46" s="33" t="str">
        <f t="shared" si="22"/>
        <v>Marketing</v>
      </c>
      <c r="C46" s="6">
        <f>$H$46/12</f>
        <v>1450.3860000000002</v>
      </c>
      <c r="D46" s="6">
        <f t="shared" ref="D46:G46" si="26">$H$46/12</f>
        <v>1450.3860000000002</v>
      </c>
      <c r="E46" s="6">
        <f t="shared" si="26"/>
        <v>1450.3860000000002</v>
      </c>
      <c r="F46" s="6">
        <f t="shared" si="26"/>
        <v>1450.3860000000002</v>
      </c>
      <c r="G46" s="6">
        <f t="shared" si="26"/>
        <v>1450.3860000000002</v>
      </c>
      <c r="H46" s="6">
        <f>'Profit and Loss Statement'!E18</f>
        <v>17404.632000000001</v>
      </c>
    </row>
    <row r="47" spans="2:8">
      <c r="B47" s="33" t="str">
        <f t="shared" si="22"/>
        <v>Professional Fees and Licensure</v>
      </c>
      <c r="C47" s="6">
        <f>$H$47/12</f>
        <v>542.5</v>
      </c>
      <c r="D47" s="6">
        <f t="shared" ref="D47:G47" si="27">$H$47/12</f>
        <v>542.5</v>
      </c>
      <c r="E47" s="6">
        <f t="shared" si="27"/>
        <v>542.5</v>
      </c>
      <c r="F47" s="6">
        <f t="shared" si="27"/>
        <v>542.5</v>
      </c>
      <c r="G47" s="6">
        <f t="shared" si="27"/>
        <v>542.5</v>
      </c>
      <c r="H47" s="6">
        <f>'Profit and Loss Statement'!E19</f>
        <v>6510</v>
      </c>
    </row>
    <row r="48" spans="2:8">
      <c r="B48" s="29" t="s">
        <v>14</v>
      </c>
      <c r="C48" s="6">
        <f>$H$48/12</f>
        <v>3681.5625</v>
      </c>
      <c r="D48" s="6">
        <f t="shared" ref="D48:G48" si="28">$H$48/12</f>
        <v>3681.5625</v>
      </c>
      <c r="E48" s="6">
        <f t="shared" si="28"/>
        <v>3681.5625</v>
      </c>
      <c r="F48" s="6">
        <f t="shared" si="28"/>
        <v>3681.5625</v>
      </c>
      <c r="G48" s="6">
        <f t="shared" si="28"/>
        <v>3681.5625</v>
      </c>
      <c r="H48" s="6">
        <f>'Profit and Loss Statement'!E20</f>
        <v>44178.75</v>
      </c>
    </row>
    <row r="49" spans="2:15">
      <c r="B49" s="28" t="s">
        <v>8</v>
      </c>
      <c r="C49" s="6">
        <f>SUM(C41:C48)</f>
        <v>63421.692449999995</v>
      </c>
      <c r="D49" s="6">
        <f t="shared" ref="D49:G49" si="29">SUM(D41:D48)</f>
        <v>63421.692449999995</v>
      </c>
      <c r="E49" s="6">
        <f t="shared" si="29"/>
        <v>63421.692449999995</v>
      </c>
      <c r="F49" s="6">
        <f t="shared" si="29"/>
        <v>63421.692449999995</v>
      </c>
      <c r="G49" s="6">
        <f t="shared" si="29"/>
        <v>63421.692449999995</v>
      </c>
      <c r="H49" s="6">
        <f>'Profit and Loss Statement'!E21</f>
        <v>761060.30939999991</v>
      </c>
    </row>
    <row r="50" spans="2:15">
      <c r="B50" s="30"/>
    </row>
    <row r="51" spans="2:15">
      <c r="B51" s="24" t="s">
        <v>47</v>
      </c>
      <c r="C51" s="25">
        <f>C38-C49</f>
        <v>21781.907550000011</v>
      </c>
      <c r="D51" s="25">
        <f t="shared" ref="D51:H51" si="30">D38-D49</f>
        <v>21796.707549999999</v>
      </c>
      <c r="E51" s="25">
        <f t="shared" si="30"/>
        <v>21811.507550000002</v>
      </c>
      <c r="F51" s="25">
        <f t="shared" si="30"/>
        <v>21826.307550000005</v>
      </c>
      <c r="G51" s="25">
        <f t="shared" si="30"/>
        <v>21841.107550000008</v>
      </c>
      <c r="H51" s="25">
        <f t="shared" si="30"/>
        <v>261116.49060000014</v>
      </c>
    </row>
    <row r="52" spans="2:15">
      <c r="B52" s="29" t="s">
        <v>15</v>
      </c>
      <c r="C52" s="6">
        <f>(C34/$H$34)*$H$52</f>
        <v>3060.8046939623518</v>
      </c>
      <c r="D52" s="6">
        <f t="shared" ref="D52:G52" si="31">(D34/$H$34)*$H$52</f>
        <v>3061.3363605758595</v>
      </c>
      <c r="E52" s="6">
        <f t="shared" si="31"/>
        <v>3061.8680271893663</v>
      </c>
      <c r="F52" s="6">
        <f t="shared" si="31"/>
        <v>3062.399693802874</v>
      </c>
      <c r="G52" s="6">
        <f t="shared" si="31"/>
        <v>3062.9313604163817</v>
      </c>
      <c r="H52" s="6">
        <f>'Profit and Loss Statement'!E24</f>
        <v>36720.086328505087</v>
      </c>
    </row>
    <row r="53" spans="2:15">
      <c r="B53" s="29" t="s">
        <v>102</v>
      </c>
      <c r="C53" s="6">
        <f>(C34/$H$34)*$H$53</f>
        <v>612.16093879247046</v>
      </c>
      <c r="D53" s="6">
        <f t="shared" ref="D53:G53" si="32">(D34/$H$34)*$H$53</f>
        <v>612.26727211517198</v>
      </c>
      <c r="E53" s="6">
        <f t="shared" si="32"/>
        <v>612.37360543787338</v>
      </c>
      <c r="F53" s="6">
        <f t="shared" si="32"/>
        <v>612.4799387605749</v>
      </c>
      <c r="G53" s="6">
        <f t="shared" si="32"/>
        <v>612.58627208327641</v>
      </c>
      <c r="H53" s="6">
        <f>'Profit and Loss Statement'!E25</f>
        <v>7344.017265701018</v>
      </c>
    </row>
    <row r="54" spans="2:15">
      <c r="B54" s="29" t="s">
        <v>16</v>
      </c>
      <c r="C54" s="6">
        <f>'Loan Amortization Table'!D21</f>
        <v>6585.8368031837563</v>
      </c>
      <c r="D54" s="6">
        <f>'Loan Amortization Table'!D22</f>
        <v>6573.9797106054175</v>
      </c>
      <c r="E54" s="6">
        <f>'Loan Amortization Table'!D23</f>
        <v>6562.0435707432225</v>
      </c>
      <c r="F54" s="6">
        <f>'Loan Amortization Table'!D24</f>
        <v>6550.0278566152792</v>
      </c>
      <c r="G54" s="6">
        <f>'Loan Amortization Table'!D25</f>
        <v>6537.9320377264839</v>
      </c>
      <c r="H54" s="6">
        <f>'Profit and Loss Statement'!E26</f>
        <v>79236.145285979786</v>
      </c>
    </row>
    <row r="55" spans="2:15">
      <c r="B55" s="29" t="s">
        <v>54</v>
      </c>
      <c r="C55" s="6">
        <f>$H$55/12</f>
        <v>2916.6666666666665</v>
      </c>
      <c r="D55" s="6">
        <f t="shared" ref="D55:G55" si="33">$H$55/12</f>
        <v>2916.6666666666665</v>
      </c>
      <c r="E55" s="6">
        <f t="shared" si="33"/>
        <v>2916.6666666666665</v>
      </c>
      <c r="F55" s="6">
        <f t="shared" si="33"/>
        <v>2916.6666666666665</v>
      </c>
      <c r="G55" s="6">
        <f t="shared" si="33"/>
        <v>2916.6666666666665</v>
      </c>
      <c r="H55" s="6">
        <f>'Profit and Loss Statement'!E27</f>
        <v>35000</v>
      </c>
    </row>
    <row r="56" spans="2:15">
      <c r="B56" s="38" t="s">
        <v>17</v>
      </c>
      <c r="C56" s="39">
        <f>C51-SUM(C52:C55)</f>
        <v>8606.4384473947666</v>
      </c>
      <c r="D56" s="39">
        <f t="shared" ref="D56:G56" si="34">D51-SUM(D52:D55)</f>
        <v>8632.4575400368831</v>
      </c>
      <c r="E56" s="39">
        <f t="shared" si="34"/>
        <v>8658.5556799628739</v>
      </c>
      <c r="F56" s="39">
        <f t="shared" si="34"/>
        <v>8684.7333941546112</v>
      </c>
      <c r="G56" s="39">
        <f t="shared" si="34"/>
        <v>8710.9912131071997</v>
      </c>
      <c r="H56" s="39">
        <f>'Profit and Loss Statement'!E28</f>
        <v>102816.24171981425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435115.8</v>
      </c>
      <c r="D62" s="6">
        <f t="shared" ref="D62:F62" si="38">$G$62*M62</f>
        <v>435115.8</v>
      </c>
      <c r="E62" s="6">
        <f t="shared" si="38"/>
        <v>435115.8</v>
      </c>
      <c r="F62" s="6">
        <f t="shared" si="38"/>
        <v>435115.8</v>
      </c>
      <c r="G62" s="6">
        <f>'Profit and Loss Statement'!F6</f>
        <v>1740463.2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128462.76</v>
      </c>
      <c r="D63" s="6">
        <f t="shared" ref="D63:F63" si="39">$G$63*M62</f>
        <v>128462.76</v>
      </c>
      <c r="E63" s="6">
        <f t="shared" si="39"/>
        <v>128462.76</v>
      </c>
      <c r="F63" s="6">
        <f t="shared" si="39"/>
        <v>128462.76</v>
      </c>
      <c r="G63" s="6">
        <f>'Profit and Loss Statement'!F7</f>
        <v>513851.04</v>
      </c>
    </row>
    <row r="64" spans="2:15">
      <c r="B64" s="29" t="s">
        <v>12</v>
      </c>
      <c r="C64" s="17">
        <f>1-(C63/C62)</f>
        <v>0.7047619047619047</v>
      </c>
      <c r="D64" s="17">
        <f t="shared" ref="D64" si="40">1-(D63/D62)</f>
        <v>0.7047619047619047</v>
      </c>
      <c r="E64" s="17">
        <f t="shared" ref="E64" si="41">1-(E63/E62)</f>
        <v>0.7047619047619047</v>
      </c>
      <c r="F64" s="17">
        <f t="shared" ref="F64:G64" si="42">1-(F63/F62)</f>
        <v>0.7047619047619047</v>
      </c>
      <c r="G64" s="17">
        <f t="shared" si="42"/>
        <v>0.7047619047619047</v>
      </c>
    </row>
    <row r="65" spans="2:7">
      <c r="B65" s="30"/>
    </row>
    <row r="66" spans="2:7">
      <c r="B66" s="37" t="s">
        <v>10</v>
      </c>
      <c r="C66" s="6">
        <f>C62-C63</f>
        <v>306653.03999999998</v>
      </c>
      <c r="D66" s="6">
        <f t="shared" ref="D66:G66" si="43">D62-D63</f>
        <v>306653.03999999998</v>
      </c>
      <c r="E66" s="6">
        <f t="shared" si="43"/>
        <v>306653.03999999998</v>
      </c>
      <c r="F66" s="6">
        <f t="shared" si="43"/>
        <v>306653.03999999998</v>
      </c>
      <c r="G66" s="6">
        <f t="shared" si="43"/>
        <v>1226612.1599999999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148706.25</v>
      </c>
      <c r="D69" s="6">
        <f t="shared" ref="D69:F69" si="44">$G$69/4</f>
        <v>148706.25</v>
      </c>
      <c r="E69" s="6">
        <f t="shared" si="44"/>
        <v>148706.25</v>
      </c>
      <c r="F69" s="6">
        <f t="shared" si="44"/>
        <v>148706.25</v>
      </c>
      <c r="G69" s="6">
        <f>'Profit and Loss Statement'!F13</f>
        <v>594825</v>
      </c>
    </row>
    <row r="70" spans="2:7">
      <c r="B70" s="33" t="str">
        <f>B42</f>
        <v>Facility Costs</v>
      </c>
      <c r="C70" s="6">
        <f>$G$70/4</f>
        <v>9270</v>
      </c>
      <c r="D70" s="6">
        <f t="shared" ref="D70:F70" si="45">$G$70/4</f>
        <v>9270</v>
      </c>
      <c r="E70" s="6">
        <f t="shared" si="45"/>
        <v>9270</v>
      </c>
      <c r="F70" s="6">
        <f t="shared" si="45"/>
        <v>9270</v>
      </c>
      <c r="G70" s="6">
        <f>'Profit and Loss Statement'!F14</f>
        <v>37080</v>
      </c>
    </row>
    <row r="71" spans="2:7">
      <c r="B71" s="33" t="str">
        <f t="shared" ref="B71:B75" si="46">B43</f>
        <v>General and Administrative</v>
      </c>
      <c r="C71" s="6">
        <f>$G$71/4</f>
        <v>6831.3180599999996</v>
      </c>
      <c r="D71" s="6">
        <f t="shared" ref="D71:F71" si="47">$G$71/4</f>
        <v>6831.3180599999996</v>
      </c>
      <c r="E71" s="6">
        <f t="shared" si="47"/>
        <v>6831.3180599999996</v>
      </c>
      <c r="F71" s="6">
        <f t="shared" si="47"/>
        <v>6831.3180599999996</v>
      </c>
      <c r="G71" s="6">
        <f>'Profit and Loss Statement'!F15</f>
        <v>27325.272239999998</v>
      </c>
    </row>
    <row r="72" spans="2:7">
      <c r="B72" s="33" t="str">
        <f t="shared" si="46"/>
        <v>Equipment Costs</v>
      </c>
      <c r="C72" s="6">
        <f>$G$72/4</f>
        <v>6613.7601599999998</v>
      </c>
      <c r="D72" s="6">
        <f t="shared" ref="D72:F72" si="48">$G$72/4</f>
        <v>6613.7601599999998</v>
      </c>
      <c r="E72" s="6">
        <f t="shared" si="48"/>
        <v>6613.7601599999998</v>
      </c>
      <c r="F72" s="6">
        <f t="shared" si="48"/>
        <v>6613.7601599999998</v>
      </c>
      <c r="G72" s="6">
        <f>'Profit and Loss Statement'!F16</f>
        <v>26455.040639999999</v>
      </c>
    </row>
    <row r="73" spans="2:7">
      <c r="B73" s="33" t="str">
        <f t="shared" si="46"/>
        <v>Insurance Costs</v>
      </c>
      <c r="C73" s="6">
        <f>$G$73/4</f>
        <v>8922.375</v>
      </c>
      <c r="D73" s="6">
        <f t="shared" ref="D73:F73" si="49">$G$73/4</f>
        <v>8922.375</v>
      </c>
      <c r="E73" s="6">
        <f t="shared" si="49"/>
        <v>8922.375</v>
      </c>
      <c r="F73" s="6">
        <f t="shared" si="49"/>
        <v>8922.375</v>
      </c>
      <c r="G73" s="6">
        <f>'Profit and Loss Statement'!F17</f>
        <v>35689.5</v>
      </c>
    </row>
    <row r="74" spans="2:7">
      <c r="B74" s="33" t="str">
        <f t="shared" si="46"/>
        <v>Marketing</v>
      </c>
      <c r="C74" s="6">
        <f>$G$74/4</f>
        <v>5221.3895999999995</v>
      </c>
      <c r="D74" s="6">
        <f t="shared" ref="D74:F74" si="50">$G$74/4</f>
        <v>5221.3895999999995</v>
      </c>
      <c r="E74" s="6">
        <f t="shared" si="50"/>
        <v>5221.3895999999995</v>
      </c>
      <c r="F74" s="6">
        <f t="shared" si="50"/>
        <v>5221.3895999999995</v>
      </c>
      <c r="G74" s="6">
        <f>'Profit and Loss Statement'!F18</f>
        <v>20885.558399999998</v>
      </c>
    </row>
    <row r="75" spans="2:7">
      <c r="B75" s="33" t="str">
        <f t="shared" si="46"/>
        <v>Professional Fees and Licensure</v>
      </c>
      <c r="C75" s="6">
        <f>$G$75/4</f>
        <v>2197.125</v>
      </c>
      <c r="D75" s="6">
        <f t="shared" ref="D75:F75" si="51">$G$75/4</f>
        <v>2197.125</v>
      </c>
      <c r="E75" s="6">
        <f t="shared" si="51"/>
        <v>2197.125</v>
      </c>
      <c r="F75" s="6">
        <f t="shared" si="51"/>
        <v>2197.125</v>
      </c>
      <c r="G75" s="6">
        <f>'Profit and Loss Statement'!F19</f>
        <v>8788.5</v>
      </c>
    </row>
    <row r="76" spans="2:7">
      <c r="B76" s="29" t="s">
        <v>14</v>
      </c>
      <c r="C76" s="6">
        <f>$G$76/4</f>
        <v>11376.028124999999</v>
      </c>
      <c r="D76" s="6">
        <f t="shared" ref="D76:F76" si="52">$G$76/4</f>
        <v>11376.028124999999</v>
      </c>
      <c r="E76" s="6">
        <f t="shared" si="52"/>
        <v>11376.028124999999</v>
      </c>
      <c r="F76" s="6">
        <f t="shared" si="52"/>
        <v>11376.028124999999</v>
      </c>
      <c r="G76" s="6">
        <f>'Profit and Loss Statement'!F20</f>
        <v>45504.112499999996</v>
      </c>
    </row>
    <row r="77" spans="2:7">
      <c r="B77" s="28" t="s">
        <v>8</v>
      </c>
      <c r="C77" s="6">
        <f>SUM(C69:C76)</f>
        <v>199138.245945</v>
      </c>
      <c r="D77" s="6">
        <f t="shared" ref="D77:F77" si="53">SUM(D69:D76)</f>
        <v>199138.245945</v>
      </c>
      <c r="E77" s="6">
        <f t="shared" si="53"/>
        <v>199138.245945</v>
      </c>
      <c r="F77" s="6">
        <f t="shared" si="53"/>
        <v>199138.245945</v>
      </c>
      <c r="G77" s="6">
        <f>SUM(G69:G76)</f>
        <v>796552.98378000001</v>
      </c>
    </row>
    <row r="78" spans="2:7">
      <c r="B78" s="30"/>
    </row>
    <row r="79" spans="2:7">
      <c r="B79" s="24" t="s">
        <v>47</v>
      </c>
      <c r="C79" s="25">
        <f>C66-C77</f>
        <v>107514.79405499998</v>
      </c>
      <c r="D79" s="25">
        <f t="shared" ref="D79:F79" si="54">D66-D77</f>
        <v>107514.79405499998</v>
      </c>
      <c r="E79" s="25">
        <f t="shared" si="54"/>
        <v>107514.79405499998</v>
      </c>
      <c r="F79" s="25">
        <f t="shared" si="54"/>
        <v>107514.79405499998</v>
      </c>
      <c r="G79" s="25">
        <f t="shared" ref="G79" si="55">G66-G77</f>
        <v>430059.17621999991</v>
      </c>
    </row>
    <row r="80" spans="2:7">
      <c r="B80" s="29" t="s">
        <v>15</v>
      </c>
      <c r="C80" s="6">
        <f>$G$80*L62</f>
        <v>19848.585221125952</v>
      </c>
      <c r="D80" s="6">
        <f t="shared" ref="D80:F80" si="56">$G$80*M62</f>
        <v>19848.585221125952</v>
      </c>
      <c r="E80" s="6">
        <f t="shared" si="56"/>
        <v>19848.585221125952</v>
      </c>
      <c r="F80" s="6">
        <f t="shared" si="56"/>
        <v>19848.585221125952</v>
      </c>
      <c r="G80" s="6">
        <f>'Profit and Loss Statement'!F24</f>
        <v>79394.340884503807</v>
      </c>
    </row>
    <row r="81" spans="2:15">
      <c r="B81" s="29" t="s">
        <v>102</v>
      </c>
      <c r="C81" s="6">
        <f>$G$81*L62</f>
        <v>3969.7170442251904</v>
      </c>
      <c r="D81" s="6">
        <f t="shared" ref="D81:F81" si="57">$G$81*M62</f>
        <v>3969.7170442251904</v>
      </c>
      <c r="E81" s="6">
        <f t="shared" si="57"/>
        <v>3969.7170442251904</v>
      </c>
      <c r="F81" s="6">
        <f t="shared" si="57"/>
        <v>3969.7170442251904</v>
      </c>
      <c r="G81" s="6">
        <f>'Profit and Loss Statement'!F25</f>
        <v>15878.868176900762</v>
      </c>
    </row>
    <row r="82" spans="2:15">
      <c r="B82" s="29" t="s">
        <v>16</v>
      </c>
      <c r="C82" s="6">
        <f>SUM('Loan Amortization Table'!D26:D28)</f>
        <v>19540.412120377059</v>
      </c>
      <c r="D82" s="6">
        <f>SUM('Loan Amortization Table'!D29:D31)</f>
        <v>19428.614304124167</v>
      </c>
      <c r="E82" s="6">
        <f>SUM('Loan Amortization Table'!D32:D34)</f>
        <v>19314.565592045441</v>
      </c>
      <c r="F82" s="6">
        <f>SUM('Loan Amortization Table'!D35:D37)</f>
        <v>19198.220665437984</v>
      </c>
      <c r="G82" s="6">
        <f>'Profit and Loss Statement'!F26</f>
        <v>77481.812681984666</v>
      </c>
    </row>
    <row r="83" spans="2:15">
      <c r="B83" s="29" t="s">
        <v>54</v>
      </c>
      <c r="C83" s="6">
        <f>$G$83/4</f>
        <v>8750</v>
      </c>
      <c r="D83" s="6">
        <f t="shared" ref="D83:F83" si="58">$G$83/4</f>
        <v>8750</v>
      </c>
      <c r="E83" s="6">
        <f t="shared" si="58"/>
        <v>8750</v>
      </c>
      <c r="F83" s="6">
        <f t="shared" si="58"/>
        <v>8750</v>
      </c>
      <c r="G83" s="6">
        <f>'Profit and Loss Statement'!F27</f>
        <v>35000</v>
      </c>
    </row>
    <row r="84" spans="2:15">
      <c r="B84" s="38" t="s">
        <v>17</v>
      </c>
      <c r="C84" s="39">
        <f>C79-SUM(C80:C83)</f>
        <v>55406.07966927177</v>
      </c>
      <c r="D84" s="39">
        <f t="shared" ref="D84:F84" si="59">D79-SUM(D80:D83)</f>
        <v>55517.877485524667</v>
      </c>
      <c r="E84" s="39">
        <f t="shared" si="59"/>
        <v>55631.926197603389</v>
      </c>
      <c r="F84" s="39">
        <f t="shared" si="59"/>
        <v>55748.271124210849</v>
      </c>
      <c r="G84" s="39">
        <f>'Profit and Loss Statement'!F28</f>
        <v>222304.15447661065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500383.17</v>
      </c>
      <c r="D92" s="6">
        <f t="shared" ref="D92:F92" si="64">$G$92*M92</f>
        <v>500383.17</v>
      </c>
      <c r="E92" s="6">
        <f t="shared" si="64"/>
        <v>500383.17</v>
      </c>
      <c r="F92" s="6">
        <f t="shared" si="64"/>
        <v>500383.17</v>
      </c>
      <c r="G92" s="6">
        <f>'Profit and Loss Statement'!G6</f>
        <v>2001532.68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147732.17399999997</v>
      </c>
      <c r="D93" s="6">
        <f t="shared" ref="D93:F93" si="65">$G$93*M92</f>
        <v>147732.17399999997</v>
      </c>
      <c r="E93" s="6">
        <f t="shared" si="65"/>
        <v>147732.17399999997</v>
      </c>
      <c r="F93" s="6">
        <f t="shared" si="65"/>
        <v>147732.17399999997</v>
      </c>
      <c r="G93" s="6">
        <f>'Profit and Loss Statement'!G7</f>
        <v>590928.69599999988</v>
      </c>
    </row>
    <row r="94" spans="2:15">
      <c r="B94" s="29" t="s">
        <v>12</v>
      </c>
      <c r="C94" s="17">
        <f>1-(C93/C92)</f>
        <v>0.70476190476190481</v>
      </c>
      <c r="D94" s="17">
        <f t="shared" ref="D94:G94" si="66">1-(D93/D92)</f>
        <v>0.70476190476190481</v>
      </c>
      <c r="E94" s="17">
        <f t="shared" si="66"/>
        <v>0.70476190476190481</v>
      </c>
      <c r="F94" s="17">
        <f t="shared" si="66"/>
        <v>0.70476190476190481</v>
      </c>
      <c r="G94" s="17">
        <f t="shared" si="66"/>
        <v>0.70476190476190481</v>
      </c>
    </row>
    <row r="95" spans="2:15">
      <c r="B95" s="30"/>
    </row>
    <row r="96" spans="2:15">
      <c r="B96" s="37" t="s">
        <v>10</v>
      </c>
      <c r="C96" s="6">
        <f>C92-C93</f>
        <v>352650.99600000004</v>
      </c>
      <c r="D96" s="6">
        <f t="shared" ref="D96:G96" si="67">D92-D93</f>
        <v>352650.99600000004</v>
      </c>
      <c r="E96" s="6">
        <f t="shared" si="67"/>
        <v>352650.99600000004</v>
      </c>
      <c r="F96" s="6">
        <f t="shared" si="67"/>
        <v>352650.99600000004</v>
      </c>
      <c r="G96" s="6">
        <f t="shared" si="67"/>
        <v>1410603.9840000002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153167.4375</v>
      </c>
      <c r="D99" s="6">
        <f>$G$99/4</f>
        <v>153167.4375</v>
      </c>
      <c r="E99" s="6">
        <f>$G$99/4</f>
        <v>153167.4375</v>
      </c>
      <c r="F99" s="6">
        <f>$G$99/4</f>
        <v>153167.4375</v>
      </c>
      <c r="G99" s="6">
        <f>'Profit and Loss Statement'!G13</f>
        <v>612669.75</v>
      </c>
    </row>
    <row r="100" spans="2:7">
      <c r="B100" s="33" t="str">
        <f>B70</f>
        <v>Facility Costs</v>
      </c>
      <c r="C100" s="6">
        <f>$G$100/4</f>
        <v>9548.1</v>
      </c>
      <c r="D100" s="6">
        <f t="shared" ref="D100:F100" si="68">$G$100/4</f>
        <v>9548.1</v>
      </c>
      <c r="E100" s="6">
        <f t="shared" si="68"/>
        <v>9548.1</v>
      </c>
      <c r="F100" s="6">
        <f t="shared" si="68"/>
        <v>9548.1</v>
      </c>
      <c r="G100" s="6">
        <f>'Profit and Loss Statement'!G14</f>
        <v>38192.400000000001</v>
      </c>
    </row>
    <row r="101" spans="2:7">
      <c r="B101" s="33" t="str">
        <f t="shared" ref="B101:B105" si="69">B71</f>
        <v>General and Administrative</v>
      </c>
      <c r="C101" s="6">
        <f>$G101/4</f>
        <v>7856.0157689999987</v>
      </c>
      <c r="D101" s="6">
        <f t="shared" ref="D101:F101" si="70">$G101/4</f>
        <v>7856.0157689999987</v>
      </c>
      <c r="E101" s="6">
        <f t="shared" si="70"/>
        <v>7856.0157689999987</v>
      </c>
      <c r="F101" s="6">
        <f t="shared" si="70"/>
        <v>7856.0157689999987</v>
      </c>
      <c r="G101" s="6">
        <f>'Profit and Loss Statement'!G15</f>
        <v>31424.063075999995</v>
      </c>
    </row>
    <row r="102" spans="2:7">
      <c r="B102" s="33" t="str">
        <f t="shared" si="69"/>
        <v>Equipment Costs</v>
      </c>
      <c r="C102" s="6">
        <f>$G$102/4</f>
        <v>7605.8241840000001</v>
      </c>
      <c r="D102" s="6">
        <f t="shared" ref="D102:F102" si="71">$G$102/4</f>
        <v>7605.8241840000001</v>
      </c>
      <c r="E102" s="6">
        <f t="shared" si="71"/>
        <v>7605.8241840000001</v>
      </c>
      <c r="F102" s="6">
        <f t="shared" si="71"/>
        <v>7605.8241840000001</v>
      </c>
      <c r="G102" s="6">
        <f>'Profit and Loss Statement'!G16</f>
        <v>30423.296736</v>
      </c>
    </row>
    <row r="103" spans="2:7">
      <c r="B103" s="33" t="str">
        <f t="shared" si="69"/>
        <v>Insurance Costs</v>
      </c>
      <c r="C103" s="6">
        <f>$G$103/4</f>
        <v>9190.0462499999994</v>
      </c>
      <c r="D103" s="6">
        <f t="shared" ref="D103:F103" si="72">$G$103/4</f>
        <v>9190.0462499999994</v>
      </c>
      <c r="E103" s="6">
        <f t="shared" si="72"/>
        <v>9190.0462499999994</v>
      </c>
      <c r="F103" s="6">
        <f t="shared" si="72"/>
        <v>9190.0462499999994</v>
      </c>
      <c r="G103" s="6">
        <f>'Profit and Loss Statement'!G17</f>
        <v>36760.184999999998</v>
      </c>
    </row>
    <row r="104" spans="2:7">
      <c r="B104" s="33" t="str">
        <f t="shared" si="69"/>
        <v>Marketing</v>
      </c>
      <c r="C104" s="6">
        <f>$G$104/4</f>
        <v>6004.5980399999999</v>
      </c>
      <c r="D104" s="6">
        <f t="shared" ref="D104:F104" si="73">$G$104/4</f>
        <v>6004.5980399999999</v>
      </c>
      <c r="E104" s="6">
        <f t="shared" si="73"/>
        <v>6004.5980399999999</v>
      </c>
      <c r="F104" s="6">
        <f t="shared" si="73"/>
        <v>6004.5980399999999</v>
      </c>
      <c r="G104" s="6">
        <f>'Profit and Loss Statement'!G18</f>
        <v>24018.392159999999</v>
      </c>
    </row>
    <row r="105" spans="2:7">
      <c r="B105" s="33" t="str">
        <f t="shared" si="69"/>
        <v>Professional Fees and Licensure</v>
      </c>
      <c r="C105" s="6">
        <f>$G$105/4</f>
        <v>2966.1187500000001</v>
      </c>
      <c r="D105" s="6">
        <f t="shared" ref="D105:F105" si="74">$G$105/4</f>
        <v>2966.1187500000001</v>
      </c>
      <c r="E105" s="6">
        <f t="shared" si="74"/>
        <v>2966.1187500000001</v>
      </c>
      <c r="F105" s="6">
        <f t="shared" si="74"/>
        <v>2966.1187500000001</v>
      </c>
      <c r="G105" s="6">
        <f>'Profit and Loss Statement'!G19</f>
        <v>11864.475</v>
      </c>
    </row>
    <row r="106" spans="2:7">
      <c r="B106" s="29" t="s">
        <v>14</v>
      </c>
      <c r="C106" s="6">
        <f>$G$106/4</f>
        <v>11717.30896875</v>
      </c>
      <c r="D106" s="6">
        <f t="shared" ref="D106:F106" si="75">$G$106/4</f>
        <v>11717.30896875</v>
      </c>
      <c r="E106" s="6">
        <f t="shared" si="75"/>
        <v>11717.30896875</v>
      </c>
      <c r="F106" s="6">
        <f t="shared" si="75"/>
        <v>11717.30896875</v>
      </c>
      <c r="G106" s="6">
        <f>'Profit and Loss Statement'!G20</f>
        <v>46869.235874999998</v>
      </c>
    </row>
    <row r="107" spans="2:7">
      <c r="B107" s="28" t="s">
        <v>8</v>
      </c>
      <c r="C107" s="6">
        <f>SUM(C99:C106)</f>
        <v>208055.44946175002</v>
      </c>
      <c r="D107" s="6">
        <f t="shared" ref="D107:F107" si="76">SUM(D99:D106)</f>
        <v>208055.44946175002</v>
      </c>
      <c r="E107" s="6">
        <f t="shared" si="76"/>
        <v>208055.44946175002</v>
      </c>
      <c r="F107" s="6">
        <f t="shared" si="76"/>
        <v>208055.44946175002</v>
      </c>
      <c r="G107" s="6">
        <f>SUM(G99:G106)</f>
        <v>832221.79784700007</v>
      </c>
    </row>
    <row r="108" spans="2:7">
      <c r="B108" s="30"/>
    </row>
    <row r="109" spans="2:7">
      <c r="B109" s="24" t="s">
        <v>47</v>
      </c>
      <c r="C109" s="25">
        <f>C96-C107</f>
        <v>144595.54653825003</v>
      </c>
      <c r="D109" s="25">
        <f t="shared" ref="D109:G109" si="77">D96-D107</f>
        <v>144595.54653825003</v>
      </c>
      <c r="E109" s="25">
        <f t="shared" si="77"/>
        <v>144595.54653825003</v>
      </c>
      <c r="F109" s="25">
        <f t="shared" si="77"/>
        <v>144595.54653825003</v>
      </c>
      <c r="G109" s="25">
        <f t="shared" si="77"/>
        <v>578382.1861530001</v>
      </c>
    </row>
    <row r="110" spans="2:7">
      <c r="B110" s="29" t="s">
        <v>15</v>
      </c>
      <c r="C110" s="6">
        <f>$G$110*L92</f>
        <v>29237.519675994907</v>
      </c>
      <c r="D110" s="6">
        <f t="shared" ref="D110:F110" si="78">$G$110*M92</f>
        <v>29237.519675994907</v>
      </c>
      <c r="E110" s="6">
        <f t="shared" si="78"/>
        <v>29237.519675994907</v>
      </c>
      <c r="F110" s="6">
        <f t="shared" si="78"/>
        <v>29237.519675994907</v>
      </c>
      <c r="G110" s="6">
        <f>'Profit and Loss Statement'!G24</f>
        <v>116950.07870397963</v>
      </c>
    </row>
    <row r="111" spans="2:7">
      <c r="B111" s="29" t="s">
        <v>102</v>
      </c>
      <c r="C111" s="6">
        <f>$G$111*L92</f>
        <v>5847.5039351989817</v>
      </c>
      <c r="D111" s="6">
        <f t="shared" ref="D111:F111" si="79">$G$111*M92</f>
        <v>5847.5039351989817</v>
      </c>
      <c r="E111" s="6">
        <f t="shared" si="79"/>
        <v>5847.5039351989817</v>
      </c>
      <c r="F111" s="6">
        <f t="shared" si="79"/>
        <v>5847.5039351989817</v>
      </c>
      <c r="G111" s="6">
        <f>'Profit and Loss Statement'!G25</f>
        <v>23390.015740795927</v>
      </c>
    </row>
    <row r="112" spans="2:7">
      <c r="B112" s="29" t="s">
        <v>16</v>
      </c>
      <c r="C112" s="6">
        <f>SUM('Loan Amortization Table'!D38:D40)</f>
        <v>19079.533293168926</v>
      </c>
      <c r="D112" s="6">
        <f>SUM('Loan Amortization Table'!D41:D43)</f>
        <v>18958.456313304891</v>
      </c>
      <c r="E112" s="6">
        <f>SUM('Loan Amortization Table'!D44:D46)</f>
        <v>18834.941614371601</v>
      </c>
      <c r="F112" s="6">
        <f>SUM('Loan Amortization Table'!D47:D49)</f>
        <v>18708.940116236168</v>
      </c>
      <c r="G112" s="6">
        <f>'Profit and Loss Statement'!G26</f>
        <v>75581.871337081582</v>
      </c>
    </row>
    <row r="113" spans="2:15">
      <c r="B113" s="29" t="s">
        <v>54</v>
      </c>
      <c r="C113" s="6">
        <f>$G$113/4</f>
        <v>8750</v>
      </c>
      <c r="D113" s="6">
        <f>$G$113/4</f>
        <v>8750</v>
      </c>
      <c r="E113" s="6">
        <f>$G$113/4</f>
        <v>8750</v>
      </c>
      <c r="F113" s="6">
        <f>$G$113/4</f>
        <v>8750</v>
      </c>
      <c r="G113" s="6">
        <f>'Profit and Loss Statement'!G27</f>
        <v>35000</v>
      </c>
    </row>
    <row r="114" spans="2:15">
      <c r="B114" s="38" t="s">
        <v>17</v>
      </c>
      <c r="C114" s="39">
        <f>C109-SUM(C110:C113)</f>
        <v>81680.98963388722</v>
      </c>
      <c r="D114" s="39">
        <f t="shared" ref="D114:F114" si="80">D109-SUM(D110:D113)</f>
        <v>81802.066613751245</v>
      </c>
      <c r="E114" s="39">
        <f t="shared" si="80"/>
        <v>81925.581312684546</v>
      </c>
      <c r="F114" s="39">
        <f t="shared" si="80"/>
        <v>82051.582810819964</v>
      </c>
      <c r="G114" s="39">
        <f>'Profit and Loss Statement'!G28</f>
        <v>327460.22037114296</v>
      </c>
    </row>
    <row r="117" spans="2:15">
      <c r="B117" s="112"/>
      <c r="K117" s="112"/>
    </row>
    <row r="118" spans="2:15">
      <c r="C118" s="120"/>
      <c r="D118" s="120"/>
      <c r="E118" s="120"/>
      <c r="F118" s="120"/>
      <c r="G118" s="120"/>
      <c r="L118" s="120"/>
      <c r="M118" s="120"/>
      <c r="N118" s="120"/>
      <c r="O118" s="120"/>
    </row>
    <row r="119" spans="2:15">
      <c r="B119" s="124"/>
      <c r="C119" s="1"/>
      <c r="D119" s="1"/>
      <c r="E119" s="1"/>
      <c r="F119" s="1"/>
      <c r="G119" s="1"/>
      <c r="L119" s="126"/>
      <c r="M119" s="126"/>
      <c r="N119" s="126"/>
      <c r="O119" s="126"/>
    </row>
    <row r="120" spans="2:15">
      <c r="C120" s="1"/>
      <c r="D120" s="1"/>
      <c r="E120" s="1"/>
      <c r="F120" s="1"/>
      <c r="G120" s="1"/>
    </row>
    <row r="121" spans="2:15">
      <c r="C121" s="125"/>
      <c r="D121" s="125"/>
      <c r="E121" s="125"/>
      <c r="F121" s="125"/>
      <c r="G121" s="125"/>
    </row>
    <row r="123" spans="2:15">
      <c r="B123" s="124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4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4"/>
      <c r="C136" s="123"/>
      <c r="D136" s="123"/>
      <c r="E136" s="123"/>
      <c r="F136" s="123"/>
      <c r="G136" s="123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4"/>
      <c r="C141" s="123"/>
      <c r="D141" s="123"/>
      <c r="E141" s="123"/>
      <c r="F141" s="123"/>
      <c r="G141" s="123"/>
    </row>
    <row r="144" spans="2:11">
      <c r="B144" s="112"/>
      <c r="K144" s="112"/>
    </row>
    <row r="145" spans="2:15">
      <c r="C145" s="120"/>
      <c r="D145" s="120"/>
      <c r="E145" s="120"/>
      <c r="F145" s="120"/>
      <c r="G145" s="120"/>
      <c r="L145" s="120"/>
      <c r="M145" s="120"/>
      <c r="N145" s="120"/>
      <c r="O145" s="120"/>
    </row>
    <row r="146" spans="2:15">
      <c r="B146" s="124"/>
      <c r="C146" s="1"/>
      <c r="D146" s="1"/>
      <c r="E146" s="1"/>
      <c r="F146" s="1"/>
      <c r="G146" s="1"/>
      <c r="L146" s="126"/>
      <c r="M146" s="126"/>
      <c r="N146" s="126"/>
      <c r="O146" s="126"/>
    </row>
    <row r="147" spans="2:15">
      <c r="C147" s="1"/>
      <c r="D147" s="1"/>
      <c r="E147" s="1"/>
      <c r="F147" s="1"/>
      <c r="G147" s="1"/>
    </row>
    <row r="148" spans="2:15">
      <c r="C148" s="125"/>
      <c r="D148" s="125"/>
      <c r="E148" s="125"/>
      <c r="F148" s="125"/>
      <c r="G148" s="125"/>
    </row>
    <row r="150" spans="2:15">
      <c r="B150" s="124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4"/>
      <c r="C161" s="1"/>
      <c r="D161" s="1"/>
      <c r="E161" s="1"/>
      <c r="F161" s="1"/>
      <c r="G161" s="1"/>
    </row>
    <row r="163" spans="2:7">
      <c r="B163" s="124"/>
      <c r="C163" s="123"/>
      <c r="D163" s="123"/>
      <c r="E163" s="123"/>
      <c r="F163" s="123"/>
      <c r="G163" s="123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4"/>
      <c r="C168" s="123"/>
      <c r="D168" s="123"/>
      <c r="E168" s="123"/>
      <c r="F168" s="123"/>
      <c r="G168" s="123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T6" sqref="T6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11343.141250131979</v>
      </c>
      <c r="E6" s="13">
        <f>'Expanded Profit and Loss'!D28+'Expanded Profit and Loss'!D27</f>
        <v>11368.621477017557</v>
      </c>
      <c r="F6" s="13">
        <f>'Expanded Profit and Loss'!E28+'Expanded Profit and Loss'!E27</f>
        <v>11394.177158748618</v>
      </c>
      <c r="G6" s="13">
        <f>'Expanded Profit and Loss'!F28+'Expanded Profit and Loss'!F27</f>
        <v>11419.808798357444</v>
      </c>
      <c r="H6" s="13">
        <f>'Expanded Profit and Loss'!G28+'Expanded Profit and Loss'!G27</f>
        <v>11445.516902229918</v>
      </c>
      <c r="I6" s="13">
        <f>'Expanded Profit and Loss'!H28+'Expanded Profit and Loss'!H27</f>
        <v>11471.301980127784</v>
      </c>
      <c r="J6" s="13">
        <f>'Expanded Profit and Loss'!I28+'Expanded Profit and Loss'!I27</f>
        <v>11497.16454521121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250000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1000000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710.75</v>
      </c>
      <c r="E11" s="13">
        <f t="shared" ref="E11:J11" si="1">$I$36/12</f>
        <v>710.75</v>
      </c>
      <c r="F11" s="13">
        <f t="shared" si="1"/>
        <v>710.75</v>
      </c>
      <c r="G11" s="13">
        <f t="shared" si="1"/>
        <v>710.75</v>
      </c>
      <c r="H11" s="13">
        <f t="shared" si="1"/>
        <v>710.75</v>
      </c>
      <c r="I11" s="13">
        <f t="shared" si="1"/>
        <v>710.75</v>
      </c>
      <c r="J11" s="13">
        <f t="shared" si="1"/>
        <v>710.75</v>
      </c>
    </row>
    <row r="12" spans="3:10">
      <c r="C12" s="37" t="s">
        <v>23</v>
      </c>
      <c r="D12" s="26">
        <f>SUM(D9:D11)</f>
        <v>1250710.75</v>
      </c>
      <c r="E12" s="26">
        <f t="shared" ref="E12:J12" si="2">SUM(E9:E11)</f>
        <v>710.75</v>
      </c>
      <c r="F12" s="26">
        <f t="shared" si="2"/>
        <v>710.75</v>
      </c>
      <c r="G12" s="26">
        <f t="shared" si="2"/>
        <v>710.75</v>
      </c>
      <c r="H12" s="26">
        <f t="shared" si="2"/>
        <v>710.75</v>
      </c>
      <c r="I12" s="26">
        <f t="shared" si="2"/>
        <v>710.75</v>
      </c>
      <c r="J12" s="26">
        <f t="shared" si="2"/>
        <v>710.75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1262053.8912501319</v>
      </c>
      <c r="E15" s="27">
        <f t="shared" ref="E15:J15" si="3">E6+E12</f>
        <v>12079.371477017557</v>
      </c>
      <c r="F15" s="27">
        <f t="shared" si="3"/>
        <v>12104.927158748618</v>
      </c>
      <c r="G15" s="27">
        <f t="shared" si="3"/>
        <v>12130.558798357444</v>
      </c>
      <c r="H15" s="27">
        <f t="shared" si="3"/>
        <v>12156.266902229918</v>
      </c>
      <c r="I15" s="27">
        <f t="shared" si="3"/>
        <v>12182.051980127784</v>
      </c>
      <c r="J15" s="27">
        <f t="shared" si="3"/>
        <v>12207.91454521121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1697.7340232679608</v>
      </c>
      <c r="E18" s="6">
        <f>'Loan Amortization Table'!C15</f>
        <v>1709.0522500897468</v>
      </c>
      <c r="F18" s="6">
        <f>'Loan Amortization Table'!C16</f>
        <v>1720.4459317570117</v>
      </c>
      <c r="G18" s="6">
        <f>'Loan Amortization Table'!C17</f>
        <v>1731.9155713020582</v>
      </c>
      <c r="H18" s="6">
        <f>'Loan Amortization Table'!C18</f>
        <v>1743.4616751107387</v>
      </c>
      <c r="I18" s="6">
        <f>'Loan Amortization Table'!C19</f>
        <v>1755.0847529448101</v>
      </c>
      <c r="J18" s="6">
        <f>'Loan Amortization Table'!C20</f>
        <v>1766.7853179644426</v>
      </c>
    </row>
    <row r="19" spans="3:10">
      <c r="C19" s="12" t="s">
        <v>25</v>
      </c>
      <c r="D19" s="13">
        <f>$I$44/12</f>
        <v>497.52499999999992</v>
      </c>
      <c r="E19" s="13">
        <f t="shared" ref="E19:J19" si="4">$I$44/12</f>
        <v>497.52499999999992</v>
      </c>
      <c r="F19" s="13">
        <f t="shared" si="4"/>
        <v>497.52499999999992</v>
      </c>
      <c r="G19" s="13">
        <f t="shared" si="4"/>
        <v>497.52499999999992</v>
      </c>
      <c r="H19" s="13">
        <f t="shared" si="4"/>
        <v>497.52499999999992</v>
      </c>
      <c r="I19" s="13">
        <f t="shared" si="4"/>
        <v>497.52499999999992</v>
      </c>
      <c r="J19" s="13">
        <f t="shared" si="4"/>
        <v>497.52499999999992</v>
      </c>
    </row>
    <row r="20" spans="3:10">
      <c r="C20" s="31" t="s">
        <v>33</v>
      </c>
      <c r="D20" s="6">
        <f>I45</f>
        <v>1120000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1122195.259023268</v>
      </c>
      <c r="E22" s="26">
        <f t="shared" ref="E22:J22" si="5">SUM(E18:E21)</f>
        <v>2206.5772500897469</v>
      </c>
      <c r="F22" s="26">
        <f t="shared" si="5"/>
        <v>2217.9709317570118</v>
      </c>
      <c r="G22" s="26">
        <f t="shared" si="5"/>
        <v>2229.4405713020583</v>
      </c>
      <c r="H22" s="26">
        <f t="shared" si="5"/>
        <v>2240.9866751107388</v>
      </c>
      <c r="I22" s="26">
        <f t="shared" si="5"/>
        <v>2252.6097529448102</v>
      </c>
      <c r="J22" s="26">
        <f t="shared" si="5"/>
        <v>2264.3103179644427</v>
      </c>
    </row>
    <row r="23" spans="3:10">
      <c r="C23" s="30"/>
    </row>
    <row r="24" spans="3:10">
      <c r="C24" s="42" t="s">
        <v>27</v>
      </c>
      <c r="D24" s="25">
        <f>D15-D22</f>
        <v>139858.63222686388</v>
      </c>
      <c r="E24" s="25">
        <f t="shared" ref="E24:J24" si="6">E15-E22</f>
        <v>9872.7942269278101</v>
      </c>
      <c r="F24" s="25">
        <f t="shared" si="6"/>
        <v>9886.9562269916059</v>
      </c>
      <c r="G24" s="25">
        <f t="shared" si="6"/>
        <v>9901.1182270553854</v>
      </c>
      <c r="H24" s="25">
        <f t="shared" si="6"/>
        <v>9915.2802271191795</v>
      </c>
      <c r="I24" s="25">
        <f t="shared" si="6"/>
        <v>9929.4422271829735</v>
      </c>
      <c r="J24" s="25">
        <f t="shared" si="6"/>
        <v>9943.6042272467676</v>
      </c>
    </row>
    <row r="25" spans="3:10">
      <c r="C25" s="42" t="s">
        <v>6</v>
      </c>
      <c r="D25" s="25">
        <f>D24</f>
        <v>139858.63222686388</v>
      </c>
      <c r="E25" s="25">
        <f>D25+E24</f>
        <v>149731.42645379168</v>
      </c>
      <c r="F25" s="25">
        <f t="shared" ref="F25:J25" si="7">E25+F24</f>
        <v>159618.38268078328</v>
      </c>
      <c r="G25" s="25">
        <f t="shared" si="7"/>
        <v>169519.50090783866</v>
      </c>
      <c r="H25" s="25">
        <f t="shared" si="7"/>
        <v>179434.78113495786</v>
      </c>
      <c r="I25" s="25">
        <f t="shared" si="7"/>
        <v>189364.22336214082</v>
      </c>
      <c r="J25" s="25">
        <f t="shared" si="7"/>
        <v>199307.8275893876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11523.105114061433</v>
      </c>
      <c r="E31" s="13">
        <f>'Expanded Profit and Loss'!D56+'Expanded Profit and Loss'!D55</f>
        <v>11549.124206703549</v>
      </c>
      <c r="F31" s="13">
        <f>'Expanded Profit and Loss'!E56+'Expanded Profit and Loss'!E55</f>
        <v>11575.22234662954</v>
      </c>
      <c r="G31" s="13">
        <f>'Expanded Profit and Loss'!F56+'Expanded Profit and Loss'!F55</f>
        <v>11601.400060821277</v>
      </c>
      <c r="H31" s="13">
        <f>'Expanded Profit and Loss'!G56+'Expanded Profit and Loss'!G55</f>
        <v>11627.657879773866</v>
      </c>
      <c r="I31" s="13">
        <f>'Cash Flow Analysis'!E6</f>
        <v>137816.24171981425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250000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1000000</v>
      </c>
      <c r="J35" s="30"/>
    </row>
    <row r="36" spans="3:10">
      <c r="C36" s="12" t="s">
        <v>22</v>
      </c>
      <c r="D36" s="13">
        <f>$I$36/12</f>
        <v>710.75</v>
      </c>
      <c r="E36" s="13">
        <f t="shared" ref="E36:H36" si="11">$I$36/12</f>
        <v>710.75</v>
      </c>
      <c r="F36" s="13">
        <f t="shared" si="11"/>
        <v>710.75</v>
      </c>
      <c r="G36" s="13">
        <f t="shared" si="11"/>
        <v>710.75</v>
      </c>
      <c r="H36" s="13">
        <f t="shared" si="11"/>
        <v>710.75</v>
      </c>
      <c r="I36" s="20">
        <f>'Cash Flow Analysis'!E11</f>
        <v>8529</v>
      </c>
      <c r="J36" s="30"/>
    </row>
    <row r="37" spans="3:10">
      <c r="C37" s="37" t="s">
        <v>23</v>
      </c>
      <c r="D37" s="26">
        <f>SUM(D34:D36)</f>
        <v>710.75</v>
      </c>
      <c r="E37" s="26">
        <f t="shared" ref="E37:H37" si="12">SUM(E34:E36)</f>
        <v>710.75</v>
      </c>
      <c r="F37" s="26">
        <f t="shared" si="12"/>
        <v>710.75</v>
      </c>
      <c r="G37" s="26">
        <f t="shared" si="12"/>
        <v>710.75</v>
      </c>
      <c r="H37" s="26">
        <f t="shared" si="12"/>
        <v>710.75</v>
      </c>
      <c r="I37" s="44">
        <f>'Cash Flow Analysis'!E12</f>
        <v>1258529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12233.855114061433</v>
      </c>
      <c r="E40" s="27">
        <f t="shared" ref="E40:H40" si="13">E31+E37</f>
        <v>12259.874206703549</v>
      </c>
      <c r="F40" s="27">
        <f t="shared" si="13"/>
        <v>12285.97234662954</v>
      </c>
      <c r="G40" s="27">
        <f t="shared" si="13"/>
        <v>12312.150060821277</v>
      </c>
      <c r="H40" s="27">
        <f t="shared" si="13"/>
        <v>12338.407879773866</v>
      </c>
      <c r="I40" s="36">
        <f>'Cash Flow Analysis'!E15</f>
        <v>1396345.2417198143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1778.5638867508715</v>
      </c>
      <c r="E43" s="6">
        <f>'Loan Amortization Table'!C22</f>
        <v>1790.4209793292102</v>
      </c>
      <c r="F43" s="6">
        <f>'Loan Amortization Table'!C23</f>
        <v>1802.3571191914052</v>
      </c>
      <c r="G43" s="6">
        <f>'Loan Amortization Table'!C24</f>
        <v>1814.3728333193485</v>
      </c>
      <c r="H43" s="6">
        <f>'Loan Amortization Table'!C25</f>
        <v>1826.4686522081438</v>
      </c>
      <c r="I43" s="6">
        <f>'Cash Flow Analysis'!E18</f>
        <v>21136.66299323575</v>
      </c>
      <c r="J43" s="30"/>
    </row>
    <row r="44" spans="3:10">
      <c r="C44" s="12" t="s">
        <v>25</v>
      </c>
      <c r="D44" s="13">
        <f>$I$44/12</f>
        <v>497.52499999999992</v>
      </c>
      <c r="E44" s="13">
        <f t="shared" ref="E44:H44" si="14">$I$44/12</f>
        <v>497.52499999999992</v>
      </c>
      <c r="F44" s="13">
        <f t="shared" si="14"/>
        <v>497.52499999999992</v>
      </c>
      <c r="G44" s="13">
        <f t="shared" si="14"/>
        <v>497.52499999999992</v>
      </c>
      <c r="H44" s="13">
        <f t="shared" si="14"/>
        <v>497.52499999999992</v>
      </c>
      <c r="I44" s="13">
        <f>'Cash Flow Analysis'!E19</f>
        <v>5970.2999999999993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1120000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96471.369203869966</v>
      </c>
      <c r="I46" s="13">
        <f>'Cash Flow Analysis'!E21</f>
        <v>96471.369203869966</v>
      </c>
      <c r="J46" s="30"/>
    </row>
    <row r="47" spans="3:10">
      <c r="C47" s="37" t="s">
        <v>26</v>
      </c>
      <c r="D47" s="26">
        <f>SUM(D43:D46)</f>
        <v>2276.0888867508716</v>
      </c>
      <c r="E47" s="26">
        <f t="shared" ref="E47:H47" si="15">SUM(E43:E46)</f>
        <v>2287.9459793292103</v>
      </c>
      <c r="F47" s="26">
        <f t="shared" si="15"/>
        <v>2299.8821191914053</v>
      </c>
      <c r="G47" s="26">
        <f t="shared" si="15"/>
        <v>2311.8978333193486</v>
      </c>
      <c r="H47" s="26">
        <f t="shared" si="15"/>
        <v>98795.362856078107</v>
      </c>
      <c r="I47" s="26">
        <f>'Cash Flow Analysis'!E22</f>
        <v>1243578.3321971057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9957.7662273105616</v>
      </c>
      <c r="E49" s="25">
        <f t="shared" ref="E49:H49" si="16">E40-E47</f>
        <v>9971.9282273743393</v>
      </c>
      <c r="F49" s="25">
        <f t="shared" si="16"/>
        <v>9986.0902274381351</v>
      </c>
      <c r="G49" s="25">
        <f t="shared" si="16"/>
        <v>10000.252227501929</v>
      </c>
      <c r="H49" s="25">
        <f t="shared" si="16"/>
        <v>-86456.954976304245</v>
      </c>
      <c r="I49" s="45">
        <f>'Cash Flow Analysis'!E24</f>
        <v>152766.90952270851</v>
      </c>
      <c r="J49" s="30"/>
    </row>
    <row r="50" spans="3:10">
      <c r="C50" s="42" t="s">
        <v>6</v>
      </c>
      <c r="D50" s="25">
        <f>J25+D49</f>
        <v>209265.59381669815</v>
      </c>
      <c r="E50" s="25">
        <f>D50+E49</f>
        <v>219237.52204407248</v>
      </c>
      <c r="F50" s="25">
        <f t="shared" ref="F50:H50" si="17">E50+F49</f>
        <v>229223.61227151062</v>
      </c>
      <c r="G50" s="25">
        <f t="shared" si="17"/>
        <v>239223.86449901253</v>
      </c>
      <c r="H50" s="25">
        <f t="shared" si="17"/>
        <v>152766.90952270827</v>
      </c>
      <c r="I50" s="45">
        <f>'Cash Flow Analysis'!E25</f>
        <v>152766.90952270851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64156.07966927177</v>
      </c>
      <c r="E58" s="48">
        <f>'Expanded Profit and Loss'!D84+'Expanded Profit and Loss'!D83</f>
        <v>64267.877485524667</v>
      </c>
      <c r="F58" s="48">
        <f>'Expanded Profit and Loss'!E84+'Expanded Profit and Loss'!E83</f>
        <v>64381.926197603389</v>
      </c>
      <c r="G58" s="48">
        <f>'Expanded Profit and Loss'!F84+'Expanded Profit and Loss'!F83</f>
        <v>64498.271124210849</v>
      </c>
      <c r="H58" s="46">
        <f>'Cash Flow Analysis'!F6</f>
        <v>257304.15447661065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2174.895</v>
      </c>
      <c r="E63" s="49">
        <f>$H$63/4</f>
        <v>2174.895</v>
      </c>
      <c r="F63" s="49">
        <f>$H$63/4</f>
        <v>2174.895</v>
      </c>
      <c r="G63" s="49">
        <f>$H$63/4</f>
        <v>2174.895</v>
      </c>
      <c r="H63" s="13">
        <f>'Cash Flow Analysis'!F11</f>
        <v>8699.58</v>
      </c>
    </row>
    <row r="64" spans="3:10">
      <c r="C64" s="37" t="s">
        <v>23</v>
      </c>
      <c r="D64" s="51">
        <f>SUM(D61:D63)</f>
        <v>2174.895</v>
      </c>
      <c r="E64" s="51">
        <f t="shared" ref="E64:G64" si="18">SUM(E61:E63)</f>
        <v>2174.895</v>
      </c>
      <c r="F64" s="51">
        <f t="shared" si="18"/>
        <v>2174.895</v>
      </c>
      <c r="G64" s="51">
        <f t="shared" si="18"/>
        <v>2174.895</v>
      </c>
      <c r="H64" s="32">
        <f>'Cash Flow Analysis'!F12</f>
        <v>8699.58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66330.974669271774</v>
      </c>
      <c r="E67" s="48">
        <f t="shared" ref="E67:G67" si="19">E58+E64</f>
        <v>66442.772485524663</v>
      </c>
      <c r="F67" s="48">
        <f t="shared" si="19"/>
        <v>66556.821197603393</v>
      </c>
      <c r="G67" s="48">
        <f t="shared" si="19"/>
        <v>66673.166124210853</v>
      </c>
      <c r="H67" s="27">
        <f>'Cash Flow Analysis'!F15</f>
        <v>266003.73447661067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5552.7899494268249</v>
      </c>
      <c r="E70" s="50">
        <f>SUM('Loan Amortization Table'!C29:C31)</f>
        <v>5664.5877656797156</v>
      </c>
      <c r="F70" s="50">
        <f>SUM('Loan Amortization Table'!C32:C34)</f>
        <v>5778.6364777584422</v>
      </c>
      <c r="G70" s="50">
        <f>SUM('Loan Amortization Table'!C35:C37)</f>
        <v>5894.9814043658971</v>
      </c>
      <c r="H70" s="32">
        <f>'Cash Flow Analysis'!F18</f>
        <v>22890.995597230882</v>
      </c>
    </row>
    <row r="71" spans="3:8">
      <c r="C71" s="12" t="s">
        <v>25</v>
      </c>
      <c r="D71" s="49">
        <f>$H$71/4</f>
        <v>1522.4264999999998</v>
      </c>
      <c r="E71" s="49">
        <f>$H$71/4</f>
        <v>1522.4264999999998</v>
      </c>
      <c r="F71" s="49">
        <f>$H$71/4</f>
        <v>1522.4264999999998</v>
      </c>
      <c r="G71" s="49">
        <f>$H$71/4</f>
        <v>1522.4264999999998</v>
      </c>
      <c r="H71" s="13">
        <f>'Cash Flow Analysis'!F19</f>
        <v>6089.7059999999992</v>
      </c>
    </row>
    <row r="72" spans="3:8">
      <c r="C72" s="31" t="s">
        <v>33</v>
      </c>
      <c r="D72" s="50">
        <f>H72</f>
        <v>0</v>
      </c>
      <c r="E72" s="50">
        <v>0</v>
      </c>
      <c r="F72" s="50">
        <v>0</v>
      </c>
      <c r="G72" s="50">
        <v>0</v>
      </c>
      <c r="H72" s="32">
        <f>'Cash Flow Analysis'!F20</f>
        <v>0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180112.90813362744</v>
      </c>
      <c r="H73" s="13">
        <f>'Cash Flow Analysis'!F21</f>
        <v>180112.90813362744</v>
      </c>
    </row>
    <row r="74" spans="3:8">
      <c r="C74" s="37" t="s">
        <v>26</v>
      </c>
      <c r="D74" s="51">
        <f>SUM(D70:D73)</f>
        <v>7075.2164494268245</v>
      </c>
      <c r="E74" s="51">
        <f t="shared" ref="E74:G74" si="20">SUM(E70:E73)</f>
        <v>7187.0142656797152</v>
      </c>
      <c r="F74" s="51">
        <f t="shared" si="20"/>
        <v>7301.0629777584418</v>
      </c>
      <c r="G74" s="51">
        <f t="shared" si="20"/>
        <v>187530.31603799333</v>
      </c>
      <c r="H74" s="34">
        <f>'Cash Flow Analysis'!F22</f>
        <v>209093.60973085833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59255.758219844953</v>
      </c>
      <c r="E76" s="52">
        <f t="shared" ref="E76:G76" si="21">E67-E74</f>
        <v>59255.758219844945</v>
      </c>
      <c r="F76" s="52">
        <f t="shared" si="21"/>
        <v>59255.758219844953</v>
      </c>
      <c r="G76" s="52">
        <f t="shared" si="21"/>
        <v>-120857.14991378247</v>
      </c>
      <c r="H76" s="40">
        <f>'Cash Flow Analysis'!F24</f>
        <v>56910.124745752342</v>
      </c>
    </row>
    <row r="77" spans="3:8">
      <c r="C77" s="42" t="s">
        <v>6</v>
      </c>
      <c r="D77" s="52">
        <f>I50+D76</f>
        <v>212022.66774255346</v>
      </c>
      <c r="E77" s="52">
        <f>D77+E76</f>
        <v>271278.42596239841</v>
      </c>
      <c r="F77" s="52">
        <f t="shared" ref="F77:G77" si="22">E77+F76</f>
        <v>330534.18418224336</v>
      </c>
      <c r="G77" s="52">
        <f t="shared" si="22"/>
        <v>209677.03426846088</v>
      </c>
      <c r="H77" s="40">
        <f>'Cash Flow Analysis'!F25</f>
        <v>209677.03426846085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90430.98963388722</v>
      </c>
      <c r="E84" s="48">
        <f>'Expanded Profit and Loss'!D114+'Expanded Profit and Loss'!D113</f>
        <v>90552.066613751245</v>
      </c>
      <c r="F84" s="48">
        <f>'Expanded Profit and Loss'!E114+'Expanded Profit and Loss'!E113</f>
        <v>90675.581312684546</v>
      </c>
      <c r="G84" s="48">
        <f>'Expanded Profit and Loss'!F114+'Expanded Profit and Loss'!F113</f>
        <v>90801.582810819964</v>
      </c>
      <c r="H84" s="27">
        <f>'Cash Flow Analysis'!G6</f>
        <v>362460.22037114296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2218.3928999999998</v>
      </c>
      <c r="E89" s="49">
        <f>$H$89/4</f>
        <v>2218.3928999999998</v>
      </c>
      <c r="F89" s="49">
        <f>$H$89/4</f>
        <v>2218.3928999999998</v>
      </c>
      <c r="G89" s="49">
        <f>$H$89/4</f>
        <v>2218.3928999999998</v>
      </c>
      <c r="H89" s="13">
        <f>'Cash Flow Analysis'!G12</f>
        <v>8873.5715999999993</v>
      </c>
    </row>
    <row r="90" spans="3:8">
      <c r="C90" s="37" t="s">
        <v>23</v>
      </c>
      <c r="D90" s="51">
        <f>SUM(D87:D89)</f>
        <v>2218.3928999999998</v>
      </c>
      <c r="E90" s="51">
        <f t="shared" ref="E90:G90" si="23">SUM(E87:E89)</f>
        <v>2218.3928999999998</v>
      </c>
      <c r="F90" s="51">
        <f t="shared" si="23"/>
        <v>2218.3928999999998</v>
      </c>
      <c r="G90" s="51">
        <f t="shared" si="23"/>
        <v>2218.3928999999998</v>
      </c>
      <c r="H90" s="34">
        <f>'Cash Flow Analysis'!G12</f>
        <v>8873.5715999999993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92649.382533887227</v>
      </c>
      <c r="E93" s="48">
        <f t="shared" ref="E93:G93" si="24">E90+E84</f>
        <v>92770.459513751252</v>
      </c>
      <c r="F93" s="48">
        <f t="shared" si="24"/>
        <v>92893.974212684552</v>
      </c>
      <c r="G93" s="48">
        <f t="shared" si="24"/>
        <v>93019.97571081997</v>
      </c>
      <c r="H93" s="27">
        <f>'Cash Flow Analysis'!G15</f>
        <v>371333.79197114299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6013.6687766349569</v>
      </c>
      <c r="E96" s="50">
        <f>SUM('Loan Amortization Table'!C41:C43)</f>
        <v>6134.7457564989927</v>
      </c>
      <c r="F96" s="50">
        <f>SUM('Loan Amortization Table'!C44:C46)</f>
        <v>6258.2604554322843</v>
      </c>
      <c r="G96" s="50">
        <f>SUM('Loan Amortization Table'!C47:C49)</f>
        <v>6384.261953567714</v>
      </c>
      <c r="H96" s="32">
        <f>'Cash Flow Analysis'!G18</f>
        <v>24790.936942133947</v>
      </c>
    </row>
    <row r="97" spans="3:8">
      <c r="C97" s="12" t="s">
        <v>25</v>
      </c>
      <c r="D97" s="49">
        <f>$H$97/4</f>
        <v>1552.8750299999997</v>
      </c>
      <c r="E97" s="49">
        <f t="shared" ref="E97:G97" si="25">$H$97/4</f>
        <v>1552.8750299999997</v>
      </c>
      <c r="F97" s="49">
        <f t="shared" si="25"/>
        <v>1552.8750299999997</v>
      </c>
      <c r="G97" s="49">
        <f t="shared" si="25"/>
        <v>1552.8750299999997</v>
      </c>
      <c r="H97" s="13">
        <f>'Cash Flow Analysis'!G19</f>
        <v>6211.5001199999988</v>
      </c>
    </row>
    <row r="98" spans="3:8">
      <c r="C98" s="31" t="s">
        <v>33</v>
      </c>
      <c r="D98" s="50">
        <f>H98</f>
        <v>0</v>
      </c>
      <c r="E98" s="50">
        <v>0</v>
      </c>
      <c r="F98" s="50">
        <v>0</v>
      </c>
      <c r="G98" s="50">
        <v>0</v>
      </c>
      <c r="H98" s="32">
        <f>'Cash Flow Analysis'!G20</f>
        <v>0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253722.15425980007</v>
      </c>
      <c r="H99" s="13">
        <f>'Cash Flow Analysis'!G21</f>
        <v>253722.15425980007</v>
      </c>
    </row>
    <row r="100" spans="3:8">
      <c r="C100" s="37" t="s">
        <v>26</v>
      </c>
      <c r="D100" s="51">
        <f>SUM(D96:D99)</f>
        <v>7566.5438066349561</v>
      </c>
      <c r="E100" s="51">
        <f t="shared" ref="E100:G100" si="26">SUM(E96:E99)</f>
        <v>7687.6207864989919</v>
      </c>
      <c r="F100" s="51">
        <f t="shared" si="26"/>
        <v>7811.1354854322835</v>
      </c>
      <c r="G100" s="51">
        <f t="shared" si="26"/>
        <v>261659.29124336777</v>
      </c>
      <c r="H100" s="34">
        <f>'Cash Flow Analysis'!G22</f>
        <v>284724.59132193401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85082.838727252267</v>
      </c>
      <c r="E102" s="52">
        <f t="shared" ref="E102:G102" si="27">E93-E100</f>
        <v>85082.838727252267</v>
      </c>
      <c r="F102" s="52">
        <f t="shared" si="27"/>
        <v>85082.838727252267</v>
      </c>
      <c r="G102" s="52">
        <f t="shared" si="27"/>
        <v>-168639.3155325478</v>
      </c>
      <c r="H102" s="40">
        <f>'Cash Flow Analysis'!G24</f>
        <v>86609.200649208971</v>
      </c>
    </row>
    <row r="103" spans="3:8">
      <c r="C103" s="42" t="s">
        <v>6</v>
      </c>
      <c r="D103" s="52">
        <f>G77+D102</f>
        <v>294759.87299571314</v>
      </c>
      <c r="E103" s="52">
        <f>D103+E102</f>
        <v>379842.71172296541</v>
      </c>
      <c r="F103" s="52">
        <f t="shared" ref="F103:G103" si="28">E103+F102</f>
        <v>464925.55045021768</v>
      </c>
      <c r="G103" s="52">
        <f t="shared" si="28"/>
        <v>296286.23491766991</v>
      </c>
      <c r="H103" s="40">
        <f>'Cash Flow Analysis'!G25</f>
        <v>296286.23491766979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20"/>
      <c r="E107" s="120"/>
      <c r="F107" s="120"/>
      <c r="G107" s="120"/>
      <c r="H107" s="120"/>
    </row>
    <row r="108" spans="3:8">
      <c r="C108" s="124"/>
      <c r="D108" s="123"/>
      <c r="E108" s="123"/>
      <c r="F108" s="123"/>
      <c r="G108" s="123"/>
      <c r="H108" s="123"/>
    </row>
    <row r="110" spans="3:8">
      <c r="C110" s="124"/>
      <c r="D110" s="124"/>
      <c r="E110" s="124"/>
      <c r="F110" s="124"/>
      <c r="G110" s="124"/>
      <c r="H110" s="124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4"/>
      <c r="D114" s="123"/>
      <c r="E114" s="123"/>
      <c r="F114" s="123"/>
      <c r="G114" s="123"/>
      <c r="H114" s="123"/>
    </row>
    <row r="117" spans="3:10">
      <c r="C117" s="124"/>
      <c r="D117" s="123"/>
      <c r="E117" s="123"/>
      <c r="F117" s="123"/>
      <c r="G117" s="123"/>
      <c r="H117" s="123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4"/>
      <c r="D124" s="123"/>
      <c r="E124" s="123"/>
      <c r="F124" s="123"/>
      <c r="G124" s="123"/>
      <c r="H124" s="123"/>
    </row>
    <row r="126" spans="3:10">
      <c r="C126" s="124"/>
      <c r="D126" s="123"/>
      <c r="E126" s="123"/>
      <c r="F126" s="123"/>
      <c r="G126" s="123"/>
      <c r="H126" s="123"/>
    </row>
    <row r="127" spans="3:10">
      <c r="C127" s="124"/>
      <c r="D127" s="123"/>
      <c r="E127" s="123"/>
      <c r="F127" s="123"/>
      <c r="G127" s="123"/>
      <c r="H127" s="123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20"/>
      <c r="E131" s="120"/>
      <c r="F131" s="120"/>
      <c r="G131" s="120"/>
      <c r="H131" s="120"/>
    </row>
    <row r="132" spans="3:8">
      <c r="C132" s="124"/>
      <c r="D132" s="123"/>
      <c r="E132" s="123"/>
      <c r="F132" s="123"/>
      <c r="G132" s="123"/>
      <c r="H132" s="123"/>
    </row>
    <row r="134" spans="3:8">
      <c r="C134" s="124"/>
      <c r="D134" s="124"/>
      <c r="E134" s="124"/>
      <c r="F134" s="124"/>
      <c r="G134" s="124"/>
      <c r="H134" s="124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4"/>
      <c r="D138" s="123"/>
      <c r="E138" s="123"/>
      <c r="F138" s="123"/>
      <c r="G138" s="123"/>
      <c r="H138" s="123"/>
    </row>
    <row r="141" spans="3:8">
      <c r="C141" s="124"/>
      <c r="D141" s="123"/>
      <c r="E141" s="123"/>
      <c r="F141" s="123"/>
      <c r="G141" s="123"/>
      <c r="H141" s="123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4"/>
      <c r="D148" s="123"/>
      <c r="E148" s="123"/>
      <c r="F148" s="123"/>
      <c r="G148" s="123"/>
      <c r="H148" s="123"/>
    </row>
    <row r="150" spans="3:8">
      <c r="C150" s="124"/>
      <c r="D150" s="123"/>
      <c r="E150" s="123"/>
      <c r="F150" s="123"/>
      <c r="G150" s="123"/>
      <c r="H150" s="123"/>
    </row>
    <row r="151" spans="3:8">
      <c r="C151" s="124"/>
      <c r="D151" s="123"/>
      <c r="E151" s="123"/>
      <c r="F151" s="123"/>
      <c r="G151" s="123"/>
      <c r="H151" s="12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Revenue Overview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2025-10-07T14:27:25Z</dcterms:modified>
</cp:coreProperties>
</file>