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Montessori School\"/>
    </mc:Choice>
  </mc:AlternateContent>
  <xr:revisionPtr revIDLastSave="0" documentId="13_ncr:1_{3AA011F3-8EB5-426E-BD4C-5EC4FD65637C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Use of Funds" sheetId="6" r:id="rId3"/>
    <sheet name="Profit and Loss Statement" sheetId="2" r:id="rId4"/>
    <sheet name="Cash Flow Analysis" sheetId="3" r:id="rId5"/>
    <sheet name="Balance Sheet" sheetId="4" r:id="rId6"/>
    <sheet name="Expanded Profit and Loss" sheetId="11" r:id="rId7"/>
    <sheet name=" Expanded Cash Flow Analysis" sheetId="12" r:id="rId8"/>
    <sheet name="Revenue Overview" sheetId="9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23" l="1"/>
  <c r="E32" i="23" s="1"/>
  <c r="F32" i="23" s="1"/>
  <c r="G32" i="23" s="1"/>
  <c r="H32" i="23" s="1"/>
  <c r="I32" i="23" s="1"/>
  <c r="J32" i="23" s="1"/>
  <c r="K32" i="23" s="1"/>
  <c r="L32" i="23" s="1"/>
  <c r="M32" i="23" s="1"/>
  <c r="N32" i="23" s="1"/>
  <c r="B25" i="7" l="1"/>
  <c r="B26" i="7"/>
  <c r="B27" i="7"/>
  <c r="B28" i="7"/>
  <c r="B29" i="7"/>
  <c r="B30" i="7"/>
  <c r="B31" i="7"/>
  <c r="B32" i="7"/>
  <c r="B33" i="7"/>
  <c r="G15" i="7" s="1"/>
  <c r="B24" i="7"/>
  <c r="L41" i="7"/>
  <c r="M41" i="7"/>
  <c r="M36" i="7"/>
  <c r="L37" i="7"/>
  <c r="M37" i="7"/>
  <c r="M38" i="7"/>
  <c r="M39" i="7"/>
  <c r="M40" i="7"/>
  <c r="C33" i="23"/>
  <c r="J8" i="9"/>
  <c r="J9" i="9"/>
  <c r="J10" i="9"/>
  <c r="J11" i="9"/>
  <c r="J12" i="9"/>
  <c r="J13" i="9"/>
  <c r="J14" i="9"/>
  <c r="J15" i="9"/>
  <c r="E20" i="3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E33" i="23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L38" i="7" s="1"/>
  <c r="G14" i="7"/>
  <c r="L39" i="7" s="1"/>
  <c r="G11" i="7"/>
  <c r="L36" i="7" s="1"/>
  <c r="L32" i="7"/>
  <c r="L31" i="7"/>
  <c r="E9" i="4"/>
  <c r="F9" i="4" s="1"/>
  <c r="G9" i="4" s="1"/>
  <c r="F19" i="3"/>
  <c r="G19" i="3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D58" i="7" s="1"/>
  <c r="E58" i="7" s="1"/>
  <c r="B59" i="7"/>
  <c r="B60" i="7"/>
  <c r="B61" i="7"/>
  <c r="B62" i="7"/>
  <c r="B63" i="7"/>
  <c r="B64" i="7"/>
  <c r="B65" i="7"/>
  <c r="B66" i="7"/>
  <c r="B67" i="7"/>
  <c r="B58" i="7"/>
  <c r="G10" i="7"/>
  <c r="G22" i="7" s="1"/>
  <c r="D87" i="12"/>
  <c r="H87" i="12"/>
  <c r="D88" i="12"/>
  <c r="H88" i="12"/>
  <c r="E23" i="6"/>
  <c r="D61" i="12"/>
  <c r="H62" i="12"/>
  <c r="D62" i="12" s="1"/>
  <c r="H61" i="12"/>
  <c r="E36" i="12"/>
  <c r="E37" i="12" s="1"/>
  <c r="H36" i="12"/>
  <c r="H37" i="12" s="1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G8" i="7"/>
  <c r="G20" i="7" s="1"/>
  <c r="G9" i="7"/>
  <c r="L34" i="7" s="1"/>
  <c r="G6" i="7"/>
  <c r="G27" i="7" l="1"/>
  <c r="L40" i="7"/>
  <c r="G26" i="7"/>
  <c r="H8" i="14"/>
  <c r="G8" i="14"/>
  <c r="D33" i="23"/>
  <c r="D52" i="23" s="1"/>
  <c r="L35" i="7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3" i="23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E61" i="23" l="1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3" i="23"/>
  <c r="D47" i="11"/>
  <c r="E42" i="11"/>
  <c r="G42" i="11"/>
  <c r="E23" i="9"/>
  <c r="E24" i="9"/>
  <c r="E22" i="9"/>
  <c r="F19" i="11"/>
  <c r="F47" i="11"/>
  <c r="C47" i="11"/>
  <c r="I19" i="11"/>
  <c r="E19" i="11"/>
  <c r="I16" i="7"/>
  <c r="D21" i="23" s="1"/>
  <c r="F17" i="2" s="1"/>
  <c r="H16" i="7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G51" i="23" l="1"/>
  <c r="E66" i="23"/>
  <c r="F42" i="23"/>
  <c r="F6" i="11" s="1"/>
  <c r="D6" i="11"/>
  <c r="D66" i="23"/>
  <c r="F61" i="23"/>
  <c r="F7" i="11" s="1"/>
  <c r="H33" i="23"/>
  <c r="C21" i="23"/>
  <c r="E17" i="2" s="1"/>
  <c r="D75" i="11"/>
  <c r="F75" i="11"/>
  <c r="E75" i="11"/>
  <c r="J16" i="7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F66" i="23" l="1"/>
  <c r="G42" i="23"/>
  <c r="G52" i="23"/>
  <c r="H52" i="23"/>
  <c r="H51" i="23"/>
  <c r="M34" i="7"/>
  <c r="M33" i="7"/>
  <c r="M35" i="7"/>
  <c r="M31" i="7"/>
  <c r="M32" i="7"/>
  <c r="I33" i="23"/>
  <c r="H45" i="11"/>
  <c r="E21" i="23"/>
  <c r="G17" i="2" s="1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H42" i="23"/>
  <c r="H6" i="11" s="1"/>
  <c r="H61" i="23"/>
  <c r="H7" i="11" s="1"/>
  <c r="G61" i="23"/>
  <c r="G7" i="11" s="1"/>
  <c r="G6" i="11"/>
  <c r="J33" i="23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G66" i="23" l="1"/>
  <c r="H66" i="23"/>
  <c r="J52" i="23"/>
  <c r="J51" i="23"/>
  <c r="I42" i="23"/>
  <c r="I52" i="23"/>
  <c r="K33" i="23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L33" i="23"/>
  <c r="H10" i="11"/>
  <c r="G10" i="11"/>
  <c r="G8" i="11"/>
  <c r="E17" i="8"/>
  <c r="D18" i="8" s="1"/>
  <c r="G18" i="12"/>
  <c r="G22" i="12" s="1"/>
  <c r="A21" i="8"/>
  <c r="B20" i="8"/>
  <c r="L51" i="23" l="1"/>
  <c r="L52" i="23"/>
  <c r="K61" i="23"/>
  <c r="D35" i="11" s="1"/>
  <c r="J66" i="23"/>
  <c r="K42" i="23"/>
  <c r="D34" i="11" s="1"/>
  <c r="I66" i="23"/>
  <c r="M33" i="23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3" i="23"/>
  <c r="C38" i="11"/>
  <c r="I8" i="11"/>
  <c r="I10" i="11"/>
  <c r="E18" i="8"/>
  <c r="D19" i="8" s="1"/>
  <c r="H26" i="11" s="1"/>
  <c r="A23" i="8"/>
  <c r="B22" i="8"/>
  <c r="N51" i="23" l="1"/>
  <c r="F21" i="9" s="1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1" i="3" l="1"/>
  <c r="F20" i="3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G21" i="3" l="1"/>
  <c r="H99" i="12" s="1"/>
  <c r="G99" i="12" s="1"/>
  <c r="G100" i="12" s="1"/>
  <c r="G20" i="3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C295" i="8" s="1"/>
  <c r="E295" i="8" s="1"/>
  <c r="D295" i="8"/>
  <c r="A296" i="8"/>
  <c r="D296" i="8" l="1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<sst xmlns="http://schemas.openxmlformats.org/spreadsheetml/2006/main" count="316" uniqueCount="137">
  <si>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</si>
  <si>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</si>
  <si>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</si>
  <si>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</si>
  <si>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</si>
  <si>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</si>
  <si>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</si>
  <si>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</si>
  <si>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</si>
  <si>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</si>
  <si>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</si>
  <si>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</si>
  <si>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</si>
  <si>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</si>
  <si>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</si>
  <si>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</si>
  <si>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</si>
  <si>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</si>
  <si>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</si>
  <si>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</si>
  <si>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</si>
  <si>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</si>
  <si>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</si>
  <si>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</si>
  <si>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</si>
  <si>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</si>
  <si>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</si>
  <si>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</si>
  <si>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</si>
  <si>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</si>
  <si>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</si>
  <si>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</si>
  <si>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</si>
  <si>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</si>
  <si>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</si>
  <si>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</si>
  <si>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</si>
  <si>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</si>
  <si>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</si>
  <si>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</si>
  <si>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</si>
  <si>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</si>
  <si>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</si>
  <si>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</si>
  <si>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</si>
  <si>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</si>
  <si>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</si>
  <si>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</si>
  <si>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</si>
  <si>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</si>
  <si>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</si>
  <si>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</si>
  <si>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</si>
  <si>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</si>
  <si>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</si>
  <si>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</si>
  <si>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</si>
  <si>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</si>
  <si>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</si>
  <si>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</si>
  <si>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</si>
  <si>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</si>
  <si>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</si>
  <si>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</si>
  <si>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</si>
  <si>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</si>
  <si>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</si>
  <si>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</si>
  <si>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</si>
  <si>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</si>
  <si>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</si>
  <si>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</si>
  <si>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</si>
  <si>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</si>
  <si>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</si>
  <si>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</si>
  <si>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</si>
  <si>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</si>
  <si>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</si>
  <si>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</si>
  <si>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</si>
  <si>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</si>
  <si>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</si>
  <si>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</si>
  <si>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</si>
  <si>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</si>
  <si>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</si>
  <si>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</si>
  <si>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</si>
  <si>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</si>
  <si>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</si>
  <si>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</si>
  <si>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</si>
  <si>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</si>
  <si>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</si>
  <si>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</si>
  <si>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</si>
  <si>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</si>
  <si>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</si>
  <si>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</si>
  <si>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</si>
  <si>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</si>
  <si>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</si>
  <si>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</si>
  <si>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</si>
  <si>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</si>
  <si>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</si>
  <si>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</si>
  <si>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</si>
  <si>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</si>
  <si>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</si>
  <si>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</si>
  <si>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</si>
  <si>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</si>
  <si>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</si>
  <si>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Senior Management</t>
  </si>
  <si>
    <t>Initial Marketing</t>
  </si>
  <si>
    <t>Initial Payroll</t>
  </si>
  <si>
    <t>Facility Costs</t>
  </si>
  <si>
    <t>Marketing</t>
  </si>
  <si>
    <t>Operational Managers</t>
  </si>
  <si>
    <t>Equipment Costs</t>
  </si>
  <si>
    <t>Position 6</t>
  </si>
  <si>
    <t>Position 10</t>
  </si>
  <si>
    <t>Fixed Assets</t>
  </si>
  <si>
    <t>Yearly Growth Rate</t>
  </si>
  <si>
    <t>Administrative Staff</t>
  </si>
  <si>
    <t>Support Staff</t>
  </si>
  <si>
    <t>Tuition</t>
  </si>
  <si>
    <t>Teachers</t>
  </si>
  <si>
    <t>Equipment and Buildout</t>
  </si>
  <si>
    <t>Registration Fees</t>
  </si>
  <si>
    <t>Copyright CompleteBizPlans 2024</t>
  </si>
  <si>
    <t>Postion 7</t>
  </si>
  <si>
    <t>Postion 8</t>
  </si>
  <si>
    <t>Postion 9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</si>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</sst>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2" fillId="0" borderId="0" applyNumberFormat="0" applyFill="0" applyBorder="0" applyAlignment="0" applyProtection="0"/>
  </cellStyleXfs>
  <cellXfs count="151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  <xf numFmtId="6" fontId="0" fillId="0" borderId="1" xfId="0" applyNumberFormat="1" applyBorder="1" applyProtection="1"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11" fillId="0" borderId="0" xfId="0" applyFont="1"/>
    <xf numFmtId="164" fontId="11" fillId="0" borderId="0" xfId="0" applyNumberFormat="1" applyFont="1"/>
    <xf numFmtId="0" fontId="12" fillId="0" borderId="0" xfId="2"/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143076.45776971756</c:v>
                </c:pt>
                <c:pt idx="1">
                  <c:v>171652.99198476688</c:v>
                </c:pt>
                <c:pt idx="2">
                  <c:v>202443.88685652509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16158.48006752842</c:v>
                </c:pt>
                <c:pt idx="1">
                  <c:v>17674.256953741678</c:v>
                </c:pt>
                <c:pt idx="2">
                  <c:v>19332.224167211985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100153.52043880228</c:v>
                </c:pt>
                <c:pt idx="1">
                  <c:v>120157.09438933681</c:v>
                </c:pt>
                <c:pt idx="2">
                  <c:v>141710.72079956756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143076.45776971756</c:v>
                </c:pt>
                <c:pt idx="1">
                  <c:v>171652.99198476688</c:v>
                </c:pt>
                <c:pt idx="2">
                  <c:v>202443.88685652509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7A74-4B72-A220-BFB3F80924E1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7A74-4B72-A220-BFB3F80924E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100153.52043880228</c:v>
                </c:pt>
                <c:pt idx="1">
                  <c:v>120157.09438933681</c:v>
                </c:pt>
                <c:pt idx="2">
                  <c:v>141710.72079956756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314764.45726338681</c:v>
                </c:pt>
                <c:pt idx="1">
                  <c:v>336646.09790507518</c:v>
                </c:pt>
                <c:pt idx="2">
                  <c:v>366168.23979482078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5-4496-A229-DDD4624D5336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236841.51993247156</c:v>
                </c:pt>
                <c:pt idx="1">
                  <c:v>222227.26297872991</c:v>
                </c:pt>
                <c:pt idx="2">
                  <c:v>206016.23881151795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85-4496-A229-DDD4624D5336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77922.937330915243</c:v>
                </c:pt>
                <c:pt idx="1">
                  <c:v>114418.83492634527</c:v>
                </c:pt>
                <c:pt idx="2">
                  <c:v>160152.00098330283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85-4496-A229-DDD4624D5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590432"/>
        <c:axId val="1340248080"/>
      </c:barChart>
      <c:catAx>
        <c:axId val="146159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8080"/>
        <c:crosses val="autoZero"/>
        <c:auto val="1"/>
        <c:lblAlgn val="ctr"/>
        <c:lblOffset val="100"/>
        <c:noMultiLvlLbl val="0"/>
      </c:catAx>
      <c:valAx>
        <c:axId val="134024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59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Tuition</c:v>
                </c:pt>
                <c:pt idx="1">
                  <c:v>Registration Fees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0.95238095238095233</c:v>
                </c:pt>
                <c:pt idx="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714313.39968421042</c:v>
                </c:pt>
                <c:pt idx="1">
                  <c:v>739135.23239894735</c:v>
                </c:pt>
                <c:pt idx="2">
                  <c:v>765410.76919318945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714313.39968421042</c:v>
                </c:pt>
                <c:pt idx="1">
                  <c:v>739135.23239894735</c:v>
                </c:pt>
                <c:pt idx="2">
                  <c:v>765410.76919318945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945693</c:v>
                </c:pt>
                <c:pt idx="1">
                  <c:v>1011891.5100000001</c:v>
                </c:pt>
                <c:pt idx="2">
                  <c:v>1082723.9157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678597.72969999991</c:v>
                </c:pt>
                <c:pt idx="1">
                  <c:v>702178.47077899997</c:v>
                </c:pt>
                <c:pt idx="2">
                  <c:v>727140.2307335299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219810.62030000007</c:v>
                </c:pt>
                <c:pt idx="1">
                  <c:v>259118.46372100012</c:v>
                </c:pt>
                <c:pt idx="2">
                  <c:v>301447.48918147013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945693</c:v>
                </c:pt>
                <c:pt idx="1">
                  <c:v>1011891.5100000001</c:v>
                </c:pt>
                <c:pt idx="2">
                  <c:v>1082723.9157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083829327159347E-2"/>
                  <c:y val="5.7273740210902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7.6200960316853597E-2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219810.62030000007</c:v>
                </c:pt>
                <c:pt idx="1">
                  <c:v>259118.46372100012</c:v>
                </c:pt>
                <c:pt idx="2">
                  <c:v>301447.48918147013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7739251040221916E-2"/>
                  <c:y val="-6.789528464114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678597.72969999991</c:v>
                </c:pt>
                <c:pt idx="1">
                  <c:v>702178.47077899997</c:v>
                </c:pt>
                <c:pt idx="2">
                  <c:v>727140.2307335299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Tuition</c:v>
                </c:pt>
                <c:pt idx="1">
                  <c:v>Registration Fees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0.95238095238095233</c:v>
                </c:pt>
                <c:pt idx="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314764.45726338681</c:v>
                </c:pt>
                <c:pt idx="1">
                  <c:v>336646.09790507518</c:v>
                </c:pt>
                <c:pt idx="2">
                  <c:v>366168.23979482078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3-4829-9B44-FD7A16AD1F98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236841.51993247156</c:v>
                </c:pt>
                <c:pt idx="1">
                  <c:v>222227.26297872991</c:v>
                </c:pt>
                <c:pt idx="2">
                  <c:v>206016.23881151795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83-4829-9B44-FD7A16AD1F98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77922.937330915243</c:v>
                </c:pt>
                <c:pt idx="1">
                  <c:v>114418.83492634527</c:v>
                </c:pt>
                <c:pt idx="2">
                  <c:v>160152.00098330283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83-4829-9B44-FD7A16AD1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590432"/>
        <c:axId val="1340248080"/>
      </c:barChart>
      <c:catAx>
        <c:axId val="146159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8080"/>
        <c:crosses val="autoZero"/>
        <c:auto val="1"/>
        <c:lblAlgn val="ctr"/>
        <c:lblOffset val="100"/>
        <c:noMultiLvlLbl val="0"/>
      </c:catAx>
      <c:valAx>
        <c:axId val="134024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59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Editable'!$L$31:$L$35</c:f>
              <c:strCache>
                <c:ptCount val="5"/>
                <c:pt idx="0">
                  <c:v>Senior Management</c:v>
                </c:pt>
                <c:pt idx="1">
                  <c:v>Operational Managers</c:v>
                </c:pt>
                <c:pt idx="2">
                  <c:v>Teachers</c:v>
                </c:pt>
                <c:pt idx="3">
                  <c:v>Support Staff</c:v>
                </c:pt>
                <c:pt idx="4">
                  <c:v>Administrative Staff</c:v>
                </c:pt>
              </c:strCache>
            </c:strRef>
          </c:cat>
          <c:val>
            <c:numRef>
              <c:f>'Personnel - Editable'!$M$31:$M$35</c:f>
              <c:numCache>
                <c:formatCode>0.0%</c:formatCode>
                <c:ptCount val="5"/>
                <c:pt idx="0">
                  <c:v>9.3457943925233641E-2</c:v>
                </c:pt>
                <c:pt idx="1">
                  <c:v>8.4112149532710276E-2</c:v>
                </c:pt>
                <c:pt idx="2">
                  <c:v>0.59813084112149528</c:v>
                </c:pt>
                <c:pt idx="3">
                  <c:v>0.14018691588785046</c:v>
                </c:pt>
                <c:pt idx="4">
                  <c:v>8.4112149532710276E-2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Funds'!$D$6:$D$9</c:f>
              <c:strCache>
                <c:ptCount val="4"/>
                <c:pt idx="0">
                  <c:v>Equipment and Buildout</c:v>
                </c:pt>
                <c:pt idx="1">
                  <c:v>Initial Payroll</c:v>
                </c:pt>
                <c:pt idx="2">
                  <c:v>Initial Marketing</c:v>
                </c:pt>
                <c:pt idx="3">
                  <c:v>Working Capital</c:v>
                </c:pt>
              </c:strCache>
            </c:strRef>
          </c:cat>
          <c:val>
            <c:numRef>
              <c:f>'Use of Funds'!$E$6:$E$9</c:f>
              <c:numCache>
                <c:formatCode>"$"#,##0</c:formatCode>
                <c:ptCount val="4"/>
                <c:pt idx="0">
                  <c:v>190000</c:v>
                </c:pt>
                <c:pt idx="1">
                  <c:v>25000</c:v>
                </c:pt>
                <c:pt idx="2">
                  <c:v>35000</c:v>
                </c:pt>
                <c:pt idx="3">
                  <c:v>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945693</c:v>
                </c:pt>
                <c:pt idx="1">
                  <c:v>1011891.5100000001</c:v>
                </c:pt>
                <c:pt idx="2">
                  <c:v>1082723.9157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678597.72969999991</c:v>
                </c:pt>
                <c:pt idx="1">
                  <c:v>702178.47077899997</c:v>
                </c:pt>
                <c:pt idx="2">
                  <c:v>727140.2307335299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219810.62030000007</c:v>
                </c:pt>
                <c:pt idx="1">
                  <c:v>259118.46372100012</c:v>
                </c:pt>
                <c:pt idx="2">
                  <c:v>301447.48918147013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945693</c:v>
                </c:pt>
                <c:pt idx="1">
                  <c:v>1011891.5100000001</c:v>
                </c:pt>
                <c:pt idx="2">
                  <c:v>1082723.9157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219810.62030000007</c:v>
                </c:pt>
                <c:pt idx="1">
                  <c:v>259118.46372100012</c:v>
                </c:pt>
                <c:pt idx="2">
                  <c:v>301447.48918147013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0"/>
                  <c:y val="-2.4316106835995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678597.72969999991</c:v>
                </c:pt>
                <c:pt idx="1">
                  <c:v>702178.47077899997</c:v>
                </c:pt>
                <c:pt idx="2">
                  <c:v>727140.2307335299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143076.45776971756</c:v>
                </c:pt>
                <c:pt idx="1">
                  <c:v>171652.99198476688</c:v>
                </c:pt>
                <c:pt idx="2">
                  <c:v>202443.88685652509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16158.48006752842</c:v>
                </c:pt>
                <c:pt idx="1">
                  <c:v>17674.256953741678</c:v>
                </c:pt>
                <c:pt idx="2">
                  <c:v>19332.224167211985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100153.52043880228</c:v>
                </c:pt>
                <c:pt idx="1">
                  <c:v>120157.09438933681</c:v>
                </c:pt>
                <c:pt idx="2">
                  <c:v>141710.72079956756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143076.45776971756</c:v>
                </c:pt>
                <c:pt idx="1">
                  <c:v>171652.99198476688</c:v>
                </c:pt>
                <c:pt idx="2">
                  <c:v>202443.88685652509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A90F-49E6-9797-C2E0751DA87A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A90F-49E6-9797-C2E0751DA87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2328035274251897E-3"/>
                  <c:y val="-6.8799427242059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FB-496E-B462-4BB9A56F4B47}"/>
                </c:ext>
              </c:extLst>
            </c:dLbl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100153.52043880228</c:v>
                </c:pt>
                <c:pt idx="1">
                  <c:v>120157.09438933681</c:v>
                </c:pt>
                <c:pt idx="2">
                  <c:v>141710.72079956756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314764.45726338681</c:v>
                </c:pt>
                <c:pt idx="1">
                  <c:v>236841.51993247156</c:v>
                </c:pt>
                <c:pt idx="2">
                  <c:v>77922.937330915243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336646.09790507518</c:v>
                </c:pt>
                <c:pt idx="1">
                  <c:v>222227.26297872991</c:v>
                </c:pt>
                <c:pt idx="2">
                  <c:v>114418.83492634527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366168.23979482078</c:v>
                </c:pt>
                <c:pt idx="1">
                  <c:v>206016.23881151795</c:v>
                </c:pt>
                <c:pt idx="2">
                  <c:v>160152.00098330283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>
              <a:solidFill>
                <a:schemeClr val="tx1"/>
              </a:solidFill>
            </a:endParaRPr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476250</xdr:colOff>
      <xdr:row>2</xdr:row>
      <xdr:rowOff>0</xdr:rowOff>
    </xdr:from>
    <xdr:to>
      <xdr:col>21</xdr:col>
      <xdr:colOff>200023</xdr:colOff>
      <xdr:row>13</xdr:row>
      <xdr:rowOff>38098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6CA6B0-884B-4D7D-B766-03063A84A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16</xdr:col>
      <xdr:colOff>514350</xdr:colOff>
      <xdr:row>28</xdr:row>
      <xdr:rowOff>133350</xdr:rowOff>
    </xdr:from>
    <xdr:to>
      <xdr:col>21</xdr:col>
      <xdr:colOff>295275</xdr:colOff>
      <xdr:row>39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06A84F-CC15-45BF-B3E6-F09F69D7B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7475" y="54673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581025</xdr:colOff>
      <xdr:row>0</xdr:row>
      <xdr:rowOff>95250</xdr:rowOff>
    </xdr:from>
    <xdr:to>
      <xdr:col>22</xdr:col>
      <xdr:colOff>361950</xdr:colOff>
      <xdr:row>11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5D38C4-14A0-4307-8804-0479E48CC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0" y="952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476250</xdr:colOff>
      <xdr:row>1</xdr:row>
      <xdr:rowOff>180975</xdr:rowOff>
    </xdr:from>
    <xdr:to>
      <xdr:col>26</xdr:col>
      <xdr:colOff>257175</xdr:colOff>
      <xdr:row>12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E5796C-5BC6-4303-AA2F-2E970A56C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8975" y="3714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357187</xdr:colOff>
      <xdr:row>9</xdr:row>
      <xdr:rowOff>4762</xdr:rowOff>
    </xdr:from>
    <xdr:to>
      <xdr:col>10</xdr:col>
      <xdr:colOff>400050</xdr:colOff>
      <xdr:row>23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504825</xdr:colOff>
      <xdr:row>1</xdr:row>
      <xdr:rowOff>76200</xdr:rowOff>
    </xdr:from>
    <xdr:to>
      <xdr:col>26</xdr:col>
      <xdr:colOff>285750</xdr:colOff>
      <xdr:row>12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99FBB0-E189-4C95-977D-3A31B525F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2667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38100</xdr:colOff>
      <xdr:row>0</xdr:row>
      <xdr:rowOff>123825</xdr:rowOff>
    </xdr:from>
    <xdr:to>
      <xdr:col>26</xdr:col>
      <xdr:colOff>428625</xdr:colOff>
      <xdr:row>11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E58966-D32B-4BB4-9ABB-223B73CFD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1238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3</xdr:row>
      <xdr:rowOff>33336</xdr:rowOff>
    </xdr:from>
    <xdr:to>
      <xdr:col>18</xdr:col>
      <xdr:colOff>609599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307657</xdr:colOff>
      <xdr:row>3</xdr:row>
      <xdr:rowOff>123825</xdr:rowOff>
    </xdr:from>
    <xdr:to>
      <xdr:col>5</xdr:col>
      <xdr:colOff>581025</xdr:colOff>
      <xdr:row>12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433A67-75BC-4929-BC21-E122897FE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3907" y="695325"/>
          <a:ext cx="2340293" cy="1733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47625</xdr:rowOff>
    </xdr:from>
    <xdr:to>
      <xdr:col>20</xdr:col>
      <xdr:colOff>257175</xdr:colOff>
      <xdr:row>27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22</xdr:col>
      <xdr:colOff>257175</xdr:colOff>
      <xdr:row>0</xdr:row>
      <xdr:rowOff>0</xdr:rowOff>
    </xdr:from>
    <xdr:to>
      <xdr:col>27</xdr:col>
      <xdr:colOff>38100</xdr:colOff>
      <xdr:row>11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95BFDD-D02D-4E2F-8073-B0EA4DBD0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714374</xdr:colOff>
      <xdr:row>4</xdr:row>
      <xdr:rowOff>142875</xdr:rowOff>
    </xdr:from>
    <xdr:to>
      <xdr:col>19</xdr:col>
      <xdr:colOff>161924</xdr:colOff>
      <xdr:row>29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476250</xdr:colOff>
      <xdr:row>0</xdr:row>
      <xdr:rowOff>171450</xdr:rowOff>
    </xdr:from>
    <xdr:to>
      <xdr:col>24</xdr:col>
      <xdr:colOff>257175</xdr:colOff>
      <xdr:row>11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E2D443-975E-4EEC-8A25-A51B69368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9025" y="1714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419099</xdr:colOff>
      <xdr:row>3</xdr:row>
      <xdr:rowOff>4761</xdr:rowOff>
    </xdr:from>
    <xdr:to>
      <xdr:col>15</xdr:col>
      <xdr:colOff>514350</xdr:colOff>
      <xdr:row>25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466725</xdr:colOff>
      <xdr:row>0</xdr:row>
      <xdr:rowOff>9525</xdr:rowOff>
    </xdr:from>
    <xdr:to>
      <xdr:col>25</xdr:col>
      <xdr:colOff>247650</xdr:colOff>
      <xdr:row>11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AF74E6-AABC-440B-ADC2-CB86C6121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7100" y="95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352425</xdr:colOff>
      <xdr:row>3</xdr:row>
      <xdr:rowOff>61912</xdr:rowOff>
    </xdr:from>
    <xdr:to>
      <xdr:col>14</xdr:col>
      <xdr:colOff>180975</xdr:colOff>
      <xdr:row>17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4A09CD-EE52-A849-B541-546969D81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20</xdr:col>
      <xdr:colOff>285750</xdr:colOff>
      <xdr:row>1</xdr:row>
      <xdr:rowOff>95250</xdr:rowOff>
    </xdr:from>
    <xdr:to>
      <xdr:col>25</xdr:col>
      <xdr:colOff>66675</xdr:colOff>
      <xdr:row>12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11D91D-1CBF-47C9-A492-9AC588F80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2857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276225</xdr:colOff>
      <xdr:row>0</xdr:row>
      <xdr:rowOff>19050</xdr:rowOff>
    </xdr:from>
    <xdr:to>
      <xdr:col>25</xdr:col>
      <xdr:colOff>57150</xdr:colOff>
      <xdr:row>11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46ABA4-319A-4FA8-B17D-774F8EEEF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6650" y="190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104775</xdr:colOff>
      <xdr:row>0</xdr:row>
      <xdr:rowOff>0</xdr:rowOff>
    </xdr:from>
    <xdr:to>
      <xdr:col>25</xdr:col>
      <xdr:colOff>495300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F190D7-5B65-4294-8E1A-E105F210F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76200</xdr:colOff>
      <xdr:row>16</xdr:row>
      <xdr:rowOff>28575</xdr:rowOff>
    </xdr:from>
    <xdr:to>
      <xdr:col>12</xdr:col>
      <xdr:colOff>371475</xdr:colOff>
      <xdr:row>27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05F93D-5FE4-4908-ACEE-AF3742647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0765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R66"/>
  <sheetViews>
    <sheetView showGridLines="0" tabSelected="1" workbookViewId="0">
      <selection activeCell="C47" sqref="C47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36"/>
      <c r="C3" s="136"/>
      <c r="D3" s="136"/>
      <c r="E3" s="136"/>
    </row>
    <row r="4" spans="2:5">
      <c r="B4" s="137" t="s">
        <v>111</v>
      </c>
      <c r="C4" s="137" t="s">
        <v>57</v>
      </c>
      <c r="D4" s="137" t="s">
        <v>10</v>
      </c>
      <c r="E4" s="137" t="s">
        <v>8</v>
      </c>
    </row>
    <row r="5" spans="2:5">
      <c r="B5" s="61" t="s">
        <v>128</v>
      </c>
      <c r="C5" s="138">
        <v>0.05</v>
      </c>
      <c r="D5" s="138">
        <v>0.95</v>
      </c>
      <c r="E5" s="138">
        <f>C5+D5</f>
        <v>1</v>
      </c>
    </row>
    <row r="6" spans="2:5">
      <c r="B6" s="61" t="s">
        <v>131</v>
      </c>
      <c r="C6" s="138">
        <v>0.05</v>
      </c>
      <c r="D6" s="138">
        <v>0.95</v>
      </c>
      <c r="E6" s="138">
        <f t="shared" ref="E6:E12" si="0">C6+D6</f>
        <v>1</v>
      </c>
    </row>
    <row r="7" spans="2:5">
      <c r="B7" s="61" t="s">
        <v>103</v>
      </c>
      <c r="C7" s="138">
        <v>0.05</v>
      </c>
      <c r="D7" s="138">
        <v>0.95</v>
      </c>
      <c r="E7" s="138">
        <f t="shared" si="0"/>
        <v>1</v>
      </c>
    </row>
    <row r="8" spans="2:5">
      <c r="B8" s="61" t="s">
        <v>104</v>
      </c>
      <c r="C8" s="138">
        <v>0.05</v>
      </c>
      <c r="D8" s="138">
        <v>0.95</v>
      </c>
      <c r="E8" s="138">
        <f t="shared" si="0"/>
        <v>1</v>
      </c>
    </row>
    <row r="9" spans="2:5">
      <c r="B9" s="61" t="s">
        <v>105</v>
      </c>
      <c r="C9" s="138">
        <v>0.05</v>
      </c>
      <c r="D9" s="138">
        <v>0.95</v>
      </c>
      <c r="E9" s="138">
        <f t="shared" si="0"/>
        <v>1</v>
      </c>
    </row>
    <row r="10" spans="2:5">
      <c r="B10" s="61" t="s">
        <v>106</v>
      </c>
      <c r="C10" s="138">
        <v>0.05</v>
      </c>
      <c r="D10" s="138">
        <v>0.95</v>
      </c>
      <c r="E10" s="138">
        <f t="shared" si="0"/>
        <v>1</v>
      </c>
    </row>
    <row r="11" spans="2:5">
      <c r="B11" s="61" t="s">
        <v>107</v>
      </c>
      <c r="C11" s="138">
        <v>0.05</v>
      </c>
      <c r="D11" s="138">
        <v>0.95</v>
      </c>
      <c r="E11" s="138">
        <f t="shared" si="0"/>
        <v>1</v>
      </c>
    </row>
    <row r="12" spans="2:5">
      <c r="B12" s="61" t="s">
        <v>108</v>
      </c>
      <c r="C12" s="138">
        <v>0.05</v>
      </c>
      <c r="D12" s="138">
        <v>0.95</v>
      </c>
      <c r="E12" s="138">
        <f t="shared" si="0"/>
        <v>1</v>
      </c>
    </row>
    <row r="13" spans="2:5">
      <c r="B13" s="61" t="s">
        <v>109</v>
      </c>
      <c r="C13" s="138">
        <v>0.05</v>
      </c>
      <c r="D13" s="138">
        <v>0.95</v>
      </c>
      <c r="E13" s="138">
        <f t="shared" ref="E13:E14" si="1">C13+D13</f>
        <v>1</v>
      </c>
    </row>
    <row r="14" spans="2:5">
      <c r="B14" s="61" t="s">
        <v>110</v>
      </c>
      <c r="C14" s="138">
        <v>0.05</v>
      </c>
      <c r="D14" s="138">
        <v>0.95</v>
      </c>
      <c r="E14" s="138">
        <f t="shared" si="1"/>
        <v>1</v>
      </c>
    </row>
    <row r="15" spans="2:5">
      <c r="B15" s="58"/>
      <c r="C15" s="58"/>
      <c r="D15" s="58"/>
      <c r="E15" s="58"/>
    </row>
    <row r="16" spans="2:5">
      <c r="B16" s="136"/>
      <c r="C16" s="136"/>
      <c r="D16" s="136"/>
      <c r="E16" s="136"/>
    </row>
    <row r="17" spans="2:14">
      <c r="B17" s="137" t="s">
        <v>112</v>
      </c>
      <c r="C17" s="137">
        <v>1</v>
      </c>
      <c r="D17" s="137">
        <v>2</v>
      </c>
      <c r="E17" s="137">
        <v>3</v>
      </c>
    </row>
    <row r="18" spans="2:14">
      <c r="B18" s="65" t="s">
        <v>118</v>
      </c>
      <c r="C18" s="89">
        <v>25000</v>
      </c>
      <c r="D18" s="89">
        <f>C18*1.03</f>
        <v>25750</v>
      </c>
      <c r="E18" s="89">
        <f>D18*1.03</f>
        <v>26522.5</v>
      </c>
    </row>
    <row r="19" spans="2:14">
      <c r="B19" s="65" t="s">
        <v>50</v>
      </c>
      <c r="C19" s="89">
        <f>'Profit and Loss Statement'!E6*0.0157</f>
        <v>14847.380099999998</v>
      </c>
      <c r="D19" s="89">
        <f>'Profit and Loss Statement'!F6*0.0157</f>
        <v>15886.696707000001</v>
      </c>
      <c r="E19" s="89">
        <f>'Profit and Loss Statement'!G6*0.0157</f>
        <v>16998.76547649</v>
      </c>
    </row>
    <row r="20" spans="2:14">
      <c r="B20" s="65" t="s">
        <v>121</v>
      </c>
      <c r="C20" s="89">
        <f>'Profit and Loss Statement'!E6*0.0152</f>
        <v>14374.533600000001</v>
      </c>
      <c r="D20" s="89">
        <f>'Profit and Loss Statement'!F6*0.0152</f>
        <v>15380.750952000002</v>
      </c>
      <c r="E20" s="89">
        <f>'Profit and Loss Statement'!G6*0.0152</f>
        <v>16457.40351864</v>
      </c>
    </row>
    <row r="21" spans="2:14">
      <c r="B21" s="65" t="s">
        <v>49</v>
      </c>
      <c r="C21" s="89">
        <f>'Personnel - Editable'!H16*0.06</f>
        <v>32100</v>
      </c>
      <c r="D21" s="89">
        <f>'Personnel - Editable'!I16*0.06</f>
        <v>33063</v>
      </c>
      <c r="E21" s="89">
        <f>'Personnel - Editable'!J16*0.06</f>
        <v>34054.89</v>
      </c>
      <c r="F21" s="114"/>
      <c r="G21" s="114"/>
    </row>
    <row r="22" spans="2:14">
      <c r="B22" s="65" t="s">
        <v>119</v>
      </c>
      <c r="C22" s="89">
        <f>'Profit and Loss Statement'!E6*0.012</f>
        <v>11348.316000000001</v>
      </c>
      <c r="D22" s="89">
        <f>'Profit and Loss Statement'!F6*0.012</f>
        <v>12142.698120000001</v>
      </c>
      <c r="E22" s="89">
        <f>'Profit and Loss Statement'!G6*0.012</f>
        <v>12992.686988400001</v>
      </c>
      <c r="F22" s="1"/>
      <c r="G22" s="1"/>
    </row>
    <row r="23" spans="2:14">
      <c r="B23" s="65" t="s">
        <v>1</v>
      </c>
      <c r="C23" s="89">
        <v>5000</v>
      </c>
      <c r="D23" s="89">
        <f>C23*1.35</f>
        <v>6750</v>
      </c>
      <c r="E23" s="89">
        <f>D23*1.35</f>
        <v>9112.5</v>
      </c>
      <c r="F23" s="1"/>
      <c r="G23" s="1"/>
    </row>
    <row r="24" spans="2:14">
      <c r="F24" s="1"/>
      <c r="G24" s="1"/>
    </row>
    <row r="25" spans="2:14">
      <c r="F25" s="1"/>
      <c r="G25" s="1"/>
    </row>
    <row r="30" spans="2:14">
      <c r="B30" s="139" t="s">
        <v>113</v>
      </c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</row>
    <row r="31" spans="2:14">
      <c r="B31" s="141" t="s">
        <v>5</v>
      </c>
      <c r="C31" s="142">
        <v>1</v>
      </c>
      <c r="D31" s="142">
        <f>C31+1</f>
        <v>2</v>
      </c>
      <c r="E31" s="142">
        <f t="shared" ref="E31:N31" si="2">D31+1</f>
        <v>3</v>
      </c>
      <c r="F31" s="142">
        <f t="shared" si="2"/>
        <v>4</v>
      </c>
      <c r="G31" s="142">
        <f t="shared" si="2"/>
        <v>5</v>
      </c>
      <c r="H31" s="142">
        <f t="shared" si="2"/>
        <v>6</v>
      </c>
      <c r="I31" s="142">
        <f t="shared" si="2"/>
        <v>7</v>
      </c>
      <c r="J31" s="142">
        <f t="shared" si="2"/>
        <v>8</v>
      </c>
      <c r="K31" s="142">
        <f t="shared" si="2"/>
        <v>9</v>
      </c>
      <c r="L31" s="142">
        <f t="shared" si="2"/>
        <v>10</v>
      </c>
      <c r="M31" s="142">
        <f t="shared" si="2"/>
        <v>11</v>
      </c>
      <c r="N31" s="142">
        <f t="shared" si="2"/>
        <v>12</v>
      </c>
    </row>
    <row r="32" spans="2:14">
      <c r="B32" s="61" t="str">
        <f t="shared" ref="B32:B41" si="3">B5</f>
        <v>Tuition</v>
      </c>
      <c r="C32" s="89">
        <v>75000</v>
      </c>
      <c r="D32" s="89">
        <f>C32+10</f>
        <v>75010</v>
      </c>
      <c r="E32" s="89">
        <f t="shared" ref="E32:N32" si="4">D32+10</f>
        <v>75020</v>
      </c>
      <c r="F32" s="89">
        <f t="shared" si="4"/>
        <v>75030</v>
      </c>
      <c r="G32" s="89">
        <f t="shared" si="4"/>
        <v>75040</v>
      </c>
      <c r="H32" s="89">
        <f t="shared" si="4"/>
        <v>75050</v>
      </c>
      <c r="I32" s="89">
        <f t="shared" si="4"/>
        <v>75060</v>
      </c>
      <c r="J32" s="89">
        <f t="shared" si="4"/>
        <v>75070</v>
      </c>
      <c r="K32" s="89">
        <f t="shared" si="4"/>
        <v>75080</v>
      </c>
      <c r="L32" s="89">
        <f t="shared" si="4"/>
        <v>75090</v>
      </c>
      <c r="M32" s="89">
        <f t="shared" si="4"/>
        <v>75100</v>
      </c>
      <c r="N32" s="89">
        <f t="shared" si="4"/>
        <v>75110</v>
      </c>
    </row>
    <row r="33" spans="2:18">
      <c r="B33" s="61" t="str">
        <f t="shared" si="3"/>
        <v>Registration Fees</v>
      </c>
      <c r="C33" s="89">
        <f>C32*0.05</f>
        <v>3750</v>
      </c>
      <c r="D33" s="89">
        <f t="shared" ref="D33:N33" si="5">D32*0.05</f>
        <v>3750.5</v>
      </c>
      <c r="E33" s="89">
        <f t="shared" si="5"/>
        <v>3751</v>
      </c>
      <c r="F33" s="89">
        <f t="shared" si="5"/>
        <v>3751.5</v>
      </c>
      <c r="G33" s="89">
        <f t="shared" si="5"/>
        <v>3752</v>
      </c>
      <c r="H33" s="89">
        <f t="shared" si="5"/>
        <v>3752.5</v>
      </c>
      <c r="I33" s="89">
        <f t="shared" si="5"/>
        <v>3753</v>
      </c>
      <c r="J33" s="89">
        <f t="shared" si="5"/>
        <v>3753.5</v>
      </c>
      <c r="K33" s="89">
        <f t="shared" si="5"/>
        <v>3754</v>
      </c>
      <c r="L33" s="89">
        <f t="shared" si="5"/>
        <v>3754.5</v>
      </c>
      <c r="M33" s="89">
        <f t="shared" si="5"/>
        <v>3755</v>
      </c>
      <c r="N33" s="89">
        <f t="shared" si="5"/>
        <v>3755.5</v>
      </c>
    </row>
    <row r="34" spans="2:18">
      <c r="B34" s="61" t="str">
        <f t="shared" si="3"/>
        <v>Item 3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</row>
    <row r="35" spans="2:18">
      <c r="B35" s="61" t="str">
        <f t="shared" si="3"/>
        <v>Item 4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</row>
    <row r="36" spans="2:18">
      <c r="B36" s="61" t="str">
        <f t="shared" si="3"/>
        <v>Item 5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2:18">
      <c r="B37" s="61" t="str">
        <f t="shared" si="3"/>
        <v>Item 6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</row>
    <row r="38" spans="2:18">
      <c r="B38" s="61" t="str">
        <f t="shared" si="3"/>
        <v>Item 7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</row>
    <row r="39" spans="2:18">
      <c r="B39" s="61" t="str">
        <f t="shared" si="3"/>
        <v>Item 8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</row>
    <row r="40" spans="2:18">
      <c r="B40" s="61" t="str">
        <f t="shared" si="3"/>
        <v>Item 9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</row>
    <row r="41" spans="2:18">
      <c r="B41" s="61" t="str">
        <f t="shared" si="3"/>
        <v>Item 10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</row>
    <row r="42" spans="2:18">
      <c r="B42" s="143" t="s">
        <v>8</v>
      </c>
      <c r="C42" s="144">
        <f>SUM(C32:C41)</f>
        <v>78750</v>
      </c>
      <c r="D42" s="144">
        <f t="shared" ref="D42:N42" si="6">SUM(D32:D41)</f>
        <v>78760.5</v>
      </c>
      <c r="E42" s="144">
        <f t="shared" si="6"/>
        <v>78771</v>
      </c>
      <c r="F42" s="144">
        <f t="shared" si="6"/>
        <v>78781.5</v>
      </c>
      <c r="G42" s="144">
        <f t="shared" si="6"/>
        <v>78792</v>
      </c>
      <c r="H42" s="144">
        <f t="shared" si="6"/>
        <v>78802.5</v>
      </c>
      <c r="I42" s="144">
        <f t="shared" si="6"/>
        <v>78813</v>
      </c>
      <c r="J42" s="144">
        <f t="shared" si="6"/>
        <v>78823.5</v>
      </c>
      <c r="K42" s="144">
        <f t="shared" si="6"/>
        <v>78834</v>
      </c>
      <c r="L42" s="144">
        <f t="shared" si="6"/>
        <v>78844.5</v>
      </c>
      <c r="M42" s="144">
        <f t="shared" si="6"/>
        <v>78855</v>
      </c>
      <c r="N42" s="144">
        <f t="shared" si="6"/>
        <v>78865.5</v>
      </c>
      <c r="R42" s="150" t="s">
        <v>136</v>
      </c>
    </row>
    <row r="44" spans="2:18">
      <c r="B44" s="136"/>
      <c r="C44" s="136"/>
    </row>
    <row r="45" spans="2:18">
      <c r="B45" s="137" t="s">
        <v>125</v>
      </c>
      <c r="C45" s="137"/>
    </row>
    <row r="46" spans="2:18">
      <c r="B46" s="61" t="s">
        <v>3</v>
      </c>
      <c r="C46" s="135">
        <v>7.0000000000000007E-2</v>
      </c>
    </row>
    <row r="47" spans="2:18">
      <c r="B47" s="61" t="s">
        <v>4</v>
      </c>
      <c r="C47" s="135">
        <v>7.0000000000000007E-2</v>
      </c>
      <c r="K47" s="107" t="s">
        <v>132</v>
      </c>
    </row>
    <row r="49" spans="2:14">
      <c r="B49" s="107" t="s">
        <v>57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</row>
    <row r="50" spans="2:14">
      <c r="B50" s="107" t="s">
        <v>5</v>
      </c>
      <c r="C50" s="107">
        <v>1</v>
      </c>
      <c r="D50" s="107">
        <f>C50+1</f>
        <v>2</v>
      </c>
      <c r="E50" s="107">
        <f t="shared" ref="E50:N50" si="7">D50+1</f>
        <v>3</v>
      </c>
      <c r="F50" s="107">
        <f t="shared" si="7"/>
        <v>4</v>
      </c>
      <c r="G50" s="107">
        <f t="shared" si="7"/>
        <v>5</v>
      </c>
      <c r="H50" s="107">
        <f t="shared" si="7"/>
        <v>6</v>
      </c>
      <c r="I50" s="107">
        <f t="shared" si="7"/>
        <v>7</v>
      </c>
      <c r="J50" s="107">
        <f t="shared" si="7"/>
        <v>8</v>
      </c>
      <c r="K50" s="107">
        <f t="shared" si="7"/>
        <v>9</v>
      </c>
      <c r="L50" s="107">
        <f t="shared" si="7"/>
        <v>10</v>
      </c>
      <c r="M50" s="107">
        <f t="shared" si="7"/>
        <v>11</v>
      </c>
      <c r="N50" s="107">
        <f t="shared" si="7"/>
        <v>12</v>
      </c>
    </row>
    <row r="51" spans="2:14">
      <c r="B51" s="107" t="str">
        <f t="shared" ref="B51:B60" si="8">B32</f>
        <v>Tuition</v>
      </c>
      <c r="C51" s="109">
        <f t="shared" ref="C51:N51" si="9">C32*($C$5/$E$5)</f>
        <v>3750</v>
      </c>
      <c r="D51" s="109">
        <f t="shared" si="9"/>
        <v>3750.5</v>
      </c>
      <c r="E51" s="109">
        <f t="shared" si="9"/>
        <v>3751</v>
      </c>
      <c r="F51" s="109">
        <f t="shared" si="9"/>
        <v>3751.5</v>
      </c>
      <c r="G51" s="109">
        <f t="shared" si="9"/>
        <v>3752</v>
      </c>
      <c r="H51" s="109">
        <f t="shared" si="9"/>
        <v>3752.5</v>
      </c>
      <c r="I51" s="109">
        <f t="shared" si="9"/>
        <v>3753</v>
      </c>
      <c r="J51" s="109">
        <f t="shared" si="9"/>
        <v>3753.5</v>
      </c>
      <c r="K51" s="109">
        <f t="shared" si="9"/>
        <v>3754</v>
      </c>
      <c r="L51" s="109">
        <f t="shared" si="9"/>
        <v>3754.5</v>
      </c>
      <c r="M51" s="109">
        <f t="shared" si="9"/>
        <v>3755</v>
      </c>
      <c r="N51" s="109">
        <f t="shared" si="9"/>
        <v>3755.5</v>
      </c>
    </row>
    <row r="52" spans="2:14">
      <c r="B52" s="107" t="str">
        <f t="shared" si="8"/>
        <v>Registration Fees</v>
      </c>
      <c r="C52" s="109">
        <f t="shared" ref="C52:N52" si="10">C33*($C$6/$E$6)</f>
        <v>187.5</v>
      </c>
      <c r="D52" s="109">
        <f t="shared" si="10"/>
        <v>187.52500000000001</v>
      </c>
      <c r="E52" s="109">
        <f t="shared" si="10"/>
        <v>187.55</v>
      </c>
      <c r="F52" s="109">
        <f t="shared" si="10"/>
        <v>187.57500000000002</v>
      </c>
      <c r="G52" s="109">
        <f t="shared" si="10"/>
        <v>187.60000000000002</v>
      </c>
      <c r="H52" s="109">
        <f t="shared" si="10"/>
        <v>187.625</v>
      </c>
      <c r="I52" s="109">
        <f t="shared" si="10"/>
        <v>187.65</v>
      </c>
      <c r="J52" s="109">
        <f t="shared" si="10"/>
        <v>187.67500000000001</v>
      </c>
      <c r="K52" s="109">
        <f t="shared" si="10"/>
        <v>187.70000000000002</v>
      </c>
      <c r="L52" s="109">
        <f t="shared" si="10"/>
        <v>187.72500000000002</v>
      </c>
      <c r="M52" s="109">
        <f t="shared" si="10"/>
        <v>187.75</v>
      </c>
      <c r="N52" s="109">
        <f t="shared" si="10"/>
        <v>187.77500000000001</v>
      </c>
    </row>
    <row r="53" spans="2:14">
      <c r="B53" s="107" t="str">
        <f t="shared" si="8"/>
        <v>Item 3</v>
      </c>
      <c r="C53" s="109">
        <f t="shared" ref="C53:N53" si="11">C34*($C$7/$E$7)</f>
        <v>0</v>
      </c>
      <c r="D53" s="109">
        <f t="shared" si="11"/>
        <v>0</v>
      </c>
      <c r="E53" s="109">
        <f t="shared" si="11"/>
        <v>0</v>
      </c>
      <c r="F53" s="109">
        <f t="shared" si="11"/>
        <v>0</v>
      </c>
      <c r="G53" s="109">
        <f t="shared" si="11"/>
        <v>0</v>
      </c>
      <c r="H53" s="109">
        <f t="shared" si="11"/>
        <v>0</v>
      </c>
      <c r="I53" s="109">
        <f t="shared" si="11"/>
        <v>0</v>
      </c>
      <c r="J53" s="109">
        <f t="shared" si="11"/>
        <v>0</v>
      </c>
      <c r="K53" s="109">
        <f t="shared" si="11"/>
        <v>0</v>
      </c>
      <c r="L53" s="109">
        <f t="shared" si="11"/>
        <v>0</v>
      </c>
      <c r="M53" s="109">
        <f t="shared" si="11"/>
        <v>0</v>
      </c>
      <c r="N53" s="109">
        <f t="shared" si="11"/>
        <v>0</v>
      </c>
    </row>
    <row r="54" spans="2:14">
      <c r="B54" s="107" t="str">
        <f t="shared" si="8"/>
        <v>Item 4</v>
      </c>
      <c r="C54" s="109">
        <f t="shared" ref="C54:N54" si="12">C35*($C$8/$E$8)</f>
        <v>0</v>
      </c>
      <c r="D54" s="109">
        <f t="shared" si="12"/>
        <v>0</v>
      </c>
      <c r="E54" s="109">
        <f t="shared" si="12"/>
        <v>0</v>
      </c>
      <c r="F54" s="109">
        <f t="shared" si="12"/>
        <v>0</v>
      </c>
      <c r="G54" s="109">
        <f t="shared" si="12"/>
        <v>0</v>
      </c>
      <c r="H54" s="109">
        <f t="shared" si="12"/>
        <v>0</v>
      </c>
      <c r="I54" s="109">
        <f t="shared" si="12"/>
        <v>0</v>
      </c>
      <c r="J54" s="109">
        <f t="shared" si="12"/>
        <v>0</v>
      </c>
      <c r="K54" s="109">
        <f t="shared" si="12"/>
        <v>0</v>
      </c>
      <c r="L54" s="109">
        <f t="shared" si="12"/>
        <v>0</v>
      </c>
      <c r="M54" s="109">
        <f t="shared" si="12"/>
        <v>0</v>
      </c>
      <c r="N54" s="109">
        <f t="shared" si="12"/>
        <v>0</v>
      </c>
    </row>
    <row r="55" spans="2:14">
      <c r="B55" s="107" t="str">
        <f t="shared" si="8"/>
        <v>Item 5</v>
      </c>
      <c r="C55" s="109">
        <f t="shared" ref="C55:N55" si="13">C36*($C$9/$E$9)</f>
        <v>0</v>
      </c>
      <c r="D55" s="109">
        <f t="shared" si="13"/>
        <v>0</v>
      </c>
      <c r="E55" s="109">
        <f t="shared" si="13"/>
        <v>0</v>
      </c>
      <c r="F55" s="109">
        <f t="shared" si="13"/>
        <v>0</v>
      </c>
      <c r="G55" s="109">
        <f t="shared" si="13"/>
        <v>0</v>
      </c>
      <c r="H55" s="109">
        <f t="shared" si="13"/>
        <v>0</v>
      </c>
      <c r="I55" s="109">
        <f t="shared" si="13"/>
        <v>0</v>
      </c>
      <c r="J55" s="109">
        <f t="shared" si="13"/>
        <v>0</v>
      </c>
      <c r="K55" s="109">
        <f t="shared" si="13"/>
        <v>0</v>
      </c>
      <c r="L55" s="109">
        <f t="shared" si="13"/>
        <v>0</v>
      </c>
      <c r="M55" s="109">
        <f t="shared" si="13"/>
        <v>0</v>
      </c>
      <c r="N55" s="109">
        <f t="shared" si="13"/>
        <v>0</v>
      </c>
    </row>
    <row r="56" spans="2:14">
      <c r="B56" s="107" t="str">
        <f t="shared" si="8"/>
        <v>Item 6</v>
      </c>
      <c r="C56" s="109">
        <f t="shared" ref="C56:N56" si="14">C37*($C$10/$E$10)</f>
        <v>0</v>
      </c>
      <c r="D56" s="109">
        <f t="shared" si="14"/>
        <v>0</v>
      </c>
      <c r="E56" s="109">
        <f t="shared" si="14"/>
        <v>0</v>
      </c>
      <c r="F56" s="109">
        <f t="shared" si="14"/>
        <v>0</v>
      </c>
      <c r="G56" s="109">
        <f t="shared" si="14"/>
        <v>0</v>
      </c>
      <c r="H56" s="109">
        <f t="shared" si="14"/>
        <v>0</v>
      </c>
      <c r="I56" s="109">
        <f t="shared" si="14"/>
        <v>0</v>
      </c>
      <c r="J56" s="109">
        <f t="shared" si="14"/>
        <v>0</v>
      </c>
      <c r="K56" s="109">
        <f t="shared" si="14"/>
        <v>0</v>
      </c>
      <c r="L56" s="109">
        <f t="shared" si="14"/>
        <v>0</v>
      </c>
      <c r="M56" s="109">
        <f t="shared" si="14"/>
        <v>0</v>
      </c>
      <c r="N56" s="109">
        <f t="shared" si="14"/>
        <v>0</v>
      </c>
    </row>
    <row r="57" spans="2:14">
      <c r="B57" s="107" t="str">
        <f t="shared" si="8"/>
        <v>Item 7</v>
      </c>
      <c r="C57" s="109">
        <f t="shared" ref="C57:N57" si="15">C38*($C$11/$E$11)</f>
        <v>0</v>
      </c>
      <c r="D57" s="109">
        <f t="shared" si="15"/>
        <v>0</v>
      </c>
      <c r="E57" s="109">
        <f t="shared" si="15"/>
        <v>0</v>
      </c>
      <c r="F57" s="109">
        <f t="shared" si="15"/>
        <v>0</v>
      </c>
      <c r="G57" s="109">
        <f t="shared" si="15"/>
        <v>0</v>
      </c>
      <c r="H57" s="109">
        <f t="shared" si="15"/>
        <v>0</v>
      </c>
      <c r="I57" s="109">
        <f t="shared" si="15"/>
        <v>0</v>
      </c>
      <c r="J57" s="109">
        <f t="shared" si="15"/>
        <v>0</v>
      </c>
      <c r="K57" s="109">
        <f t="shared" si="15"/>
        <v>0</v>
      </c>
      <c r="L57" s="109">
        <f t="shared" si="15"/>
        <v>0</v>
      </c>
      <c r="M57" s="109">
        <f t="shared" si="15"/>
        <v>0</v>
      </c>
      <c r="N57" s="109">
        <f t="shared" si="15"/>
        <v>0</v>
      </c>
    </row>
    <row r="58" spans="2:14">
      <c r="B58" s="107" t="str">
        <f t="shared" si="8"/>
        <v>Item 8</v>
      </c>
      <c r="C58" s="109">
        <f t="shared" ref="C58:N58" si="16">C39*($C$12/$E$12)</f>
        <v>0</v>
      </c>
      <c r="D58" s="109">
        <f t="shared" si="16"/>
        <v>0</v>
      </c>
      <c r="E58" s="109">
        <f t="shared" si="16"/>
        <v>0</v>
      </c>
      <c r="F58" s="109">
        <f t="shared" si="16"/>
        <v>0</v>
      </c>
      <c r="G58" s="109">
        <f t="shared" si="16"/>
        <v>0</v>
      </c>
      <c r="H58" s="109">
        <f t="shared" si="16"/>
        <v>0</v>
      </c>
      <c r="I58" s="109">
        <f t="shared" si="16"/>
        <v>0</v>
      </c>
      <c r="J58" s="109">
        <f t="shared" si="16"/>
        <v>0</v>
      </c>
      <c r="K58" s="109">
        <f t="shared" si="16"/>
        <v>0</v>
      </c>
      <c r="L58" s="109">
        <f t="shared" si="16"/>
        <v>0</v>
      </c>
      <c r="M58" s="109">
        <f t="shared" si="16"/>
        <v>0</v>
      </c>
      <c r="N58" s="109">
        <f t="shared" si="16"/>
        <v>0</v>
      </c>
    </row>
    <row r="59" spans="2:14">
      <c r="B59" s="107" t="str">
        <f t="shared" si="8"/>
        <v>Item 9</v>
      </c>
      <c r="C59" s="109">
        <f t="shared" ref="C59:N59" si="17">C40*($C$13/$E$13)</f>
        <v>0</v>
      </c>
      <c r="D59" s="109">
        <f t="shared" si="17"/>
        <v>0</v>
      </c>
      <c r="E59" s="109">
        <f t="shared" si="17"/>
        <v>0</v>
      </c>
      <c r="F59" s="109">
        <f t="shared" si="17"/>
        <v>0</v>
      </c>
      <c r="G59" s="109">
        <f t="shared" si="17"/>
        <v>0</v>
      </c>
      <c r="H59" s="109">
        <f t="shared" si="17"/>
        <v>0</v>
      </c>
      <c r="I59" s="109">
        <f t="shared" si="17"/>
        <v>0</v>
      </c>
      <c r="J59" s="109">
        <f t="shared" si="17"/>
        <v>0</v>
      </c>
      <c r="K59" s="109">
        <f t="shared" si="17"/>
        <v>0</v>
      </c>
      <c r="L59" s="109">
        <f t="shared" si="17"/>
        <v>0</v>
      </c>
      <c r="M59" s="109">
        <f t="shared" si="17"/>
        <v>0</v>
      </c>
      <c r="N59" s="109">
        <f t="shared" si="17"/>
        <v>0</v>
      </c>
    </row>
    <row r="60" spans="2:14">
      <c r="B60" s="107" t="str">
        <f t="shared" si="8"/>
        <v>Item 10</v>
      </c>
      <c r="C60" s="109">
        <f t="shared" ref="C60:N60" si="18">C41*($C$14/$E$14)</f>
        <v>0</v>
      </c>
      <c r="D60" s="109">
        <f t="shared" si="18"/>
        <v>0</v>
      </c>
      <c r="E60" s="109">
        <f t="shared" si="18"/>
        <v>0</v>
      </c>
      <c r="F60" s="109">
        <f t="shared" si="18"/>
        <v>0</v>
      </c>
      <c r="G60" s="109">
        <f t="shared" si="18"/>
        <v>0</v>
      </c>
      <c r="H60" s="109">
        <f t="shared" si="18"/>
        <v>0</v>
      </c>
      <c r="I60" s="109">
        <f t="shared" si="18"/>
        <v>0</v>
      </c>
      <c r="J60" s="109">
        <f t="shared" si="18"/>
        <v>0</v>
      </c>
      <c r="K60" s="109">
        <f t="shared" si="18"/>
        <v>0</v>
      </c>
      <c r="L60" s="109">
        <f t="shared" si="18"/>
        <v>0</v>
      </c>
      <c r="M60" s="109">
        <f t="shared" si="18"/>
        <v>0</v>
      </c>
      <c r="N60" s="109">
        <f t="shared" si="18"/>
        <v>0</v>
      </c>
    </row>
    <row r="61" spans="2:14">
      <c r="B61" s="107" t="s">
        <v>8</v>
      </c>
      <c r="C61" s="109">
        <f>SUM(C51:C60)</f>
        <v>3937.5</v>
      </c>
      <c r="D61" s="109">
        <f t="shared" ref="D61:N61" si="19">SUM(D51:D60)</f>
        <v>3938.0250000000001</v>
      </c>
      <c r="E61" s="109">
        <f t="shared" si="19"/>
        <v>3938.55</v>
      </c>
      <c r="F61" s="109">
        <f t="shared" si="19"/>
        <v>3939.0749999999998</v>
      </c>
      <c r="G61" s="109">
        <f t="shared" si="19"/>
        <v>3939.6</v>
      </c>
      <c r="H61" s="109">
        <f t="shared" si="19"/>
        <v>3940.125</v>
      </c>
      <c r="I61" s="109">
        <f t="shared" si="19"/>
        <v>3940.65</v>
      </c>
      <c r="J61" s="109">
        <f t="shared" si="19"/>
        <v>3941.1750000000002</v>
      </c>
      <c r="K61" s="109">
        <f t="shared" si="19"/>
        <v>3941.7</v>
      </c>
      <c r="L61" s="109">
        <f t="shared" si="19"/>
        <v>3942.2249999999999</v>
      </c>
      <c r="M61" s="109">
        <f t="shared" si="19"/>
        <v>3942.75</v>
      </c>
      <c r="N61" s="109">
        <f t="shared" si="19"/>
        <v>3943.2750000000001</v>
      </c>
    </row>
    <row r="62" spans="2:14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</row>
    <row r="63" spans="2:14"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</row>
    <row r="64" spans="2:14">
      <c r="B64" s="107" t="s">
        <v>10</v>
      </c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</row>
    <row r="65" spans="2:14">
      <c r="B65" s="107" t="s">
        <v>5</v>
      </c>
      <c r="C65" s="107">
        <v>1</v>
      </c>
      <c r="D65" s="107">
        <f>C65+1</f>
        <v>2</v>
      </c>
      <c r="E65" s="107">
        <f t="shared" ref="E65:N65" si="20">D65+1</f>
        <v>3</v>
      </c>
      <c r="F65" s="107">
        <f t="shared" si="20"/>
        <v>4</v>
      </c>
      <c r="G65" s="107">
        <f t="shared" si="20"/>
        <v>5</v>
      </c>
      <c r="H65" s="107">
        <f t="shared" si="20"/>
        <v>6</v>
      </c>
      <c r="I65" s="107">
        <f t="shared" si="20"/>
        <v>7</v>
      </c>
      <c r="J65" s="107">
        <f t="shared" si="20"/>
        <v>8</v>
      </c>
      <c r="K65" s="107">
        <f t="shared" si="20"/>
        <v>9</v>
      </c>
      <c r="L65" s="107">
        <f t="shared" si="20"/>
        <v>10</v>
      </c>
      <c r="M65" s="107">
        <f t="shared" si="20"/>
        <v>11</v>
      </c>
      <c r="N65" s="107">
        <f t="shared" si="20"/>
        <v>12</v>
      </c>
    </row>
    <row r="66" spans="2:14">
      <c r="B66" s="107" t="s">
        <v>8</v>
      </c>
      <c r="C66" s="109">
        <f t="shared" ref="C66:N66" si="21">C42-C61</f>
        <v>74812.5</v>
      </c>
      <c r="D66" s="109">
        <f t="shared" si="21"/>
        <v>74822.475000000006</v>
      </c>
      <c r="E66" s="109">
        <f t="shared" si="21"/>
        <v>74832.45</v>
      </c>
      <c r="F66" s="109">
        <f t="shared" si="21"/>
        <v>74842.425000000003</v>
      </c>
      <c r="G66" s="109">
        <f t="shared" si="21"/>
        <v>74852.399999999994</v>
      </c>
      <c r="H66" s="109">
        <f t="shared" si="21"/>
        <v>74862.375</v>
      </c>
      <c r="I66" s="109">
        <f t="shared" si="21"/>
        <v>74872.350000000006</v>
      </c>
      <c r="J66" s="109">
        <f t="shared" si="21"/>
        <v>74882.324999999997</v>
      </c>
      <c r="K66" s="109">
        <f t="shared" si="21"/>
        <v>74892.3</v>
      </c>
      <c r="L66" s="109">
        <f t="shared" si="21"/>
        <v>74902.274999999994</v>
      </c>
      <c r="M66" s="109">
        <f t="shared" si="21"/>
        <v>74912.25</v>
      </c>
      <c r="N66" s="109">
        <f t="shared" si="21"/>
        <v>74922.225000000006</v>
      </c>
    </row>
  </sheetData>
  <sheetProtection algorithmName="SHA-512" hashValue="9U7RDjDXyfY2Ip6+t/rn6jVJqbbI0SxephMUhNfQWJ1cZxGfWstiJ0Mb8CpLdliFtLs75qq6AklDUTWz6Cbj3A==" saltValue="AVtnaYpLabxSw1FoCd18Vg==" spinCount="100000" sheet="1" selectLockedCells="1"/>
  <hyperlinks>
    <hyperlink ref="R42" r:id="rId1" xr:uid="{9CB239B6-3AE2-4780-814E-9AC0BA79CC29}"/>
  </hyperlinks>
  <pageMargins left="0.7" right="0.7" top="0.75" bottom="0.75" header="0.3" footer="0.3"/>
  <pageSetup orientation="portrait" horizontalDpi="0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J17" sqref="J17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48" t="s">
        <v>34</v>
      </c>
      <c r="B4" s="49"/>
      <c r="C4" s="50"/>
      <c r="D4" s="51" t="s">
        <v>35</v>
      </c>
      <c r="E4" s="50"/>
    </row>
    <row r="5" spans="1:5">
      <c r="A5" s="52" t="s">
        <v>37</v>
      </c>
      <c r="B5" s="53">
        <f>'Use of Funds'!E22</f>
        <v>250000</v>
      </c>
      <c r="C5" s="50"/>
      <c r="D5" s="51" t="s">
        <v>36</v>
      </c>
      <c r="E5" s="54">
        <f>PMT(B6/B8,(B7*B8),-B5)</f>
        <v>3166.894343756237</v>
      </c>
    </row>
    <row r="6" spans="1:5">
      <c r="A6" s="55" t="s">
        <v>39</v>
      </c>
      <c r="B6" s="49">
        <v>0.09</v>
      </c>
      <c r="C6" s="50"/>
      <c r="D6" s="51" t="s">
        <v>38</v>
      </c>
      <c r="E6" s="54">
        <f>SUM(D14:D600)</f>
        <v>130027.32125074847</v>
      </c>
    </row>
    <row r="7" spans="1:5">
      <c r="A7" s="55" t="s">
        <v>40</v>
      </c>
      <c r="B7" s="55">
        <v>10</v>
      </c>
      <c r="C7" s="50"/>
      <c r="D7" s="50"/>
      <c r="E7" s="50"/>
    </row>
    <row r="8" spans="1:5">
      <c r="A8" s="48" t="s">
        <v>41</v>
      </c>
      <c r="B8" s="48">
        <v>12</v>
      </c>
      <c r="C8" s="50"/>
      <c r="D8" s="50"/>
      <c r="E8" s="50"/>
    </row>
    <row r="9" spans="1:5">
      <c r="A9" s="50"/>
      <c r="B9" s="50"/>
      <c r="C9" s="50"/>
      <c r="D9" s="50"/>
      <c r="E9" s="50"/>
    </row>
    <row r="13" spans="1:5">
      <c r="A13" s="56" t="s">
        <v>42</v>
      </c>
      <c r="B13" s="57" t="s">
        <v>8</v>
      </c>
      <c r="C13" s="56" t="s">
        <v>43</v>
      </c>
      <c r="D13" s="56" t="s">
        <v>44</v>
      </c>
      <c r="E13" s="56" t="s">
        <v>45</v>
      </c>
    </row>
    <row r="14" spans="1:5">
      <c r="A14">
        <v>1</v>
      </c>
      <c r="B14" s="1">
        <f>$E$5</f>
        <v>3166.894343756237</v>
      </c>
      <c r="C14" s="1">
        <f>B14-D14</f>
        <v>1291.894343756237</v>
      </c>
      <c r="D14" s="1">
        <f>(B5*($B$6/$B$8))</f>
        <v>1875</v>
      </c>
      <c r="E14" s="1">
        <f>B5-C14</f>
        <v>248708.10565624377</v>
      </c>
    </row>
    <row r="15" spans="1:5">
      <c r="A15">
        <f>IF(($B$7*$B$8&gt;A14),IF(($B$7*$B$8)=A14,"",A14+1),"")</f>
        <v>2</v>
      </c>
      <c r="B15" s="1">
        <f>IF(A15="","",$B$14)</f>
        <v>3166.894343756237</v>
      </c>
      <c r="C15" s="1">
        <f>IF(A15="","",B15-D15)</f>
        <v>1301.5835513344089</v>
      </c>
      <c r="D15" s="1">
        <f>IF(A15="","",(E14*($B$6/$B$8)))</f>
        <v>1865.3107924218282</v>
      </c>
      <c r="E15" s="1">
        <f>IF(A15="","",E14-C15)</f>
        <v>247406.52210490935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3166.894343756237</v>
      </c>
      <c r="C16" s="1">
        <f t="shared" ref="C16:C79" si="2">IF(A16="","",B16-D16)</f>
        <v>1311.345427969417</v>
      </c>
      <c r="D16" s="1">
        <f t="shared" ref="D16:D79" si="3">IF(A16="","",(E15*($B$6/$B$8)))</f>
        <v>1855.5489157868201</v>
      </c>
      <c r="E16" s="1">
        <f t="shared" ref="E16:E79" si="4">IF(A16="","",E15-C16)</f>
        <v>246095.17667693994</v>
      </c>
    </row>
    <row r="17" spans="1:5">
      <c r="A17">
        <f t="shared" si="0"/>
        <v>4</v>
      </c>
      <c r="B17" s="1">
        <f t="shared" si="1"/>
        <v>3166.894343756237</v>
      </c>
      <c r="C17" s="1">
        <f t="shared" si="2"/>
        <v>1321.1805186791876</v>
      </c>
      <c r="D17" s="1">
        <f t="shared" si="3"/>
        <v>1845.7138250770495</v>
      </c>
      <c r="E17" s="1">
        <f t="shared" si="4"/>
        <v>244773.99615826076</v>
      </c>
    </row>
    <row r="18" spans="1:5">
      <c r="A18">
        <f t="shared" si="0"/>
        <v>5</v>
      </c>
      <c r="B18" s="1">
        <f t="shared" si="1"/>
        <v>3166.894343756237</v>
      </c>
      <c r="C18" s="1">
        <f t="shared" si="2"/>
        <v>1331.0893725692813</v>
      </c>
      <c r="D18" s="1">
        <f t="shared" si="3"/>
        <v>1835.8049711869558</v>
      </c>
      <c r="E18" s="1">
        <f t="shared" si="4"/>
        <v>243442.90678569148</v>
      </c>
    </row>
    <row r="19" spans="1:5">
      <c r="A19">
        <f t="shared" si="0"/>
        <v>6</v>
      </c>
      <c r="B19" s="1">
        <f t="shared" si="1"/>
        <v>3166.894343756237</v>
      </c>
      <c r="C19" s="1">
        <f t="shared" si="2"/>
        <v>1341.072542863551</v>
      </c>
      <c r="D19" s="1">
        <f t="shared" si="3"/>
        <v>1825.821800892686</v>
      </c>
      <c r="E19" s="1">
        <f t="shared" si="4"/>
        <v>242101.83424282793</v>
      </c>
    </row>
    <row r="20" spans="1:5">
      <c r="A20">
        <f t="shared" si="0"/>
        <v>7</v>
      </c>
      <c r="B20" s="1">
        <f t="shared" si="1"/>
        <v>3166.894343756237</v>
      </c>
      <c r="C20" s="1">
        <f t="shared" si="2"/>
        <v>1351.1305869350276</v>
      </c>
      <c r="D20" s="1">
        <f t="shared" si="3"/>
        <v>1815.7637568212094</v>
      </c>
      <c r="E20" s="1">
        <f t="shared" si="4"/>
        <v>240750.7036558929</v>
      </c>
    </row>
    <row r="21" spans="1:5">
      <c r="A21">
        <f t="shared" si="0"/>
        <v>8</v>
      </c>
      <c r="B21" s="1">
        <f t="shared" si="1"/>
        <v>3166.894343756237</v>
      </c>
      <c r="C21" s="1">
        <f t="shared" si="2"/>
        <v>1361.2640663370405</v>
      </c>
      <c r="D21" s="1">
        <f t="shared" si="3"/>
        <v>1805.6302774191965</v>
      </c>
      <c r="E21" s="1">
        <f t="shared" si="4"/>
        <v>239389.43958955584</v>
      </c>
    </row>
    <row r="22" spans="1:5">
      <c r="A22">
        <f t="shared" si="0"/>
        <v>9</v>
      </c>
      <c r="B22" s="1">
        <f t="shared" si="1"/>
        <v>3166.894343756237</v>
      </c>
      <c r="C22" s="1">
        <f t="shared" si="2"/>
        <v>1371.4735468345682</v>
      </c>
      <c r="D22" s="1">
        <f t="shared" si="3"/>
        <v>1795.4207969216689</v>
      </c>
      <c r="E22" s="1">
        <f t="shared" si="4"/>
        <v>238017.96604272127</v>
      </c>
    </row>
    <row r="23" spans="1:5">
      <c r="A23">
        <f t="shared" si="0"/>
        <v>10</v>
      </c>
      <c r="B23" s="1">
        <f t="shared" si="1"/>
        <v>3166.894343756237</v>
      </c>
      <c r="C23" s="1">
        <f t="shared" si="2"/>
        <v>1381.7595984358277</v>
      </c>
      <c r="D23" s="1">
        <f t="shared" si="3"/>
        <v>1785.1347453204094</v>
      </c>
      <c r="E23" s="1">
        <f t="shared" si="4"/>
        <v>236636.20644428543</v>
      </c>
    </row>
    <row r="24" spans="1:5">
      <c r="A24">
        <f t="shared" si="0"/>
        <v>11</v>
      </c>
      <c r="B24" s="1">
        <f t="shared" si="1"/>
        <v>3166.894343756237</v>
      </c>
      <c r="C24" s="1">
        <f t="shared" si="2"/>
        <v>1392.1227954240965</v>
      </c>
      <c r="D24" s="1">
        <f t="shared" si="3"/>
        <v>1774.7715483321406</v>
      </c>
      <c r="E24" s="1">
        <f t="shared" si="4"/>
        <v>235244.08364886133</v>
      </c>
    </row>
    <row r="25" spans="1:5">
      <c r="A25">
        <f t="shared" si="0"/>
        <v>12</v>
      </c>
      <c r="B25" s="1">
        <f t="shared" si="1"/>
        <v>3166.894343756237</v>
      </c>
      <c r="C25" s="1">
        <f t="shared" si="2"/>
        <v>1402.5637163897773</v>
      </c>
      <c r="D25" s="1">
        <f t="shared" si="3"/>
        <v>1764.3306273664598</v>
      </c>
      <c r="E25" s="1">
        <f t="shared" si="4"/>
        <v>233841.51993247156</v>
      </c>
    </row>
    <row r="26" spans="1:5">
      <c r="A26">
        <f t="shared" si="0"/>
        <v>13</v>
      </c>
      <c r="B26" s="1">
        <f t="shared" si="1"/>
        <v>3166.894343756237</v>
      </c>
      <c r="C26" s="1">
        <f t="shared" si="2"/>
        <v>1413.0829442627003</v>
      </c>
      <c r="D26" s="1">
        <f t="shared" si="3"/>
        <v>1753.8113994935368</v>
      </c>
      <c r="E26" s="1">
        <f t="shared" si="4"/>
        <v>232428.43698820885</v>
      </c>
    </row>
    <row r="27" spans="1:5">
      <c r="A27">
        <f t="shared" si="0"/>
        <v>14</v>
      </c>
      <c r="B27" s="1">
        <f t="shared" si="1"/>
        <v>3166.894343756237</v>
      </c>
      <c r="C27" s="1">
        <f t="shared" si="2"/>
        <v>1423.6810663446706</v>
      </c>
      <c r="D27" s="1">
        <f t="shared" si="3"/>
        <v>1743.2132774115664</v>
      </c>
      <c r="E27" s="1">
        <f t="shared" si="4"/>
        <v>231004.75592186418</v>
      </c>
    </row>
    <row r="28" spans="1:5">
      <c r="A28">
        <f t="shared" si="0"/>
        <v>15</v>
      </c>
      <c r="B28" s="1">
        <f t="shared" si="1"/>
        <v>3166.894343756237</v>
      </c>
      <c r="C28" s="1">
        <f t="shared" si="2"/>
        <v>1434.3586743422557</v>
      </c>
      <c r="D28" s="1">
        <f t="shared" si="3"/>
        <v>1732.5356694139814</v>
      </c>
      <c r="E28" s="1">
        <f t="shared" si="4"/>
        <v>229570.39724752193</v>
      </c>
    </row>
    <row r="29" spans="1:5">
      <c r="A29">
        <f t="shared" si="0"/>
        <v>16</v>
      </c>
      <c r="B29" s="1">
        <f t="shared" si="1"/>
        <v>3166.894343756237</v>
      </c>
      <c r="C29" s="1">
        <f t="shared" si="2"/>
        <v>1445.1163643998227</v>
      </c>
      <c r="D29" s="1">
        <f t="shared" si="3"/>
        <v>1721.7779793564143</v>
      </c>
      <c r="E29" s="1">
        <f t="shared" si="4"/>
        <v>228125.28088312212</v>
      </c>
    </row>
    <row r="30" spans="1:5">
      <c r="A30">
        <f t="shared" si="0"/>
        <v>17</v>
      </c>
      <c r="B30" s="1">
        <f t="shared" si="1"/>
        <v>3166.894343756237</v>
      </c>
      <c r="C30" s="1">
        <f t="shared" si="2"/>
        <v>1455.9547371328213</v>
      </c>
      <c r="D30" s="1">
        <f t="shared" si="3"/>
        <v>1710.9396066234158</v>
      </c>
      <c r="E30" s="1">
        <f t="shared" si="4"/>
        <v>226669.3261459893</v>
      </c>
    </row>
    <row r="31" spans="1:5">
      <c r="A31">
        <f t="shared" si="0"/>
        <v>18</v>
      </c>
      <c r="B31" s="1">
        <f t="shared" si="1"/>
        <v>3166.894343756237</v>
      </c>
      <c r="C31" s="1">
        <f t="shared" si="2"/>
        <v>1466.8743976613173</v>
      </c>
      <c r="D31" s="1">
        <f t="shared" si="3"/>
        <v>1700.0199460949198</v>
      </c>
      <c r="E31" s="1">
        <f t="shared" si="4"/>
        <v>225202.45174832799</v>
      </c>
    </row>
    <row r="32" spans="1:5">
      <c r="A32">
        <f t="shared" si="0"/>
        <v>19</v>
      </c>
      <c r="B32" s="1">
        <f t="shared" si="1"/>
        <v>3166.894343756237</v>
      </c>
      <c r="C32" s="1">
        <f t="shared" si="2"/>
        <v>1477.8759556437772</v>
      </c>
      <c r="D32" s="1">
        <f t="shared" si="3"/>
        <v>1689.0183881124599</v>
      </c>
      <c r="E32" s="1">
        <f t="shared" si="4"/>
        <v>223724.57579268422</v>
      </c>
    </row>
    <row r="33" spans="1:5">
      <c r="A33">
        <f t="shared" si="0"/>
        <v>20</v>
      </c>
      <c r="B33" s="1">
        <f t="shared" si="1"/>
        <v>3166.894343756237</v>
      </c>
      <c r="C33" s="1">
        <f t="shared" si="2"/>
        <v>1488.9600253111055</v>
      </c>
      <c r="D33" s="1">
        <f t="shared" si="3"/>
        <v>1677.9343184451316</v>
      </c>
      <c r="E33" s="1">
        <f t="shared" si="4"/>
        <v>222235.61576737312</v>
      </c>
    </row>
    <row r="34" spans="1:5">
      <c r="A34">
        <f t="shared" si="0"/>
        <v>21</v>
      </c>
      <c r="B34" s="1">
        <f t="shared" si="1"/>
        <v>3166.894343756237</v>
      </c>
      <c r="C34" s="1">
        <f t="shared" si="2"/>
        <v>1500.1272255009387</v>
      </c>
      <c r="D34" s="1">
        <f t="shared" si="3"/>
        <v>1666.7671182552983</v>
      </c>
      <c r="E34" s="1">
        <f t="shared" si="4"/>
        <v>220735.48854187218</v>
      </c>
    </row>
    <row r="35" spans="1:5">
      <c r="A35">
        <f t="shared" si="0"/>
        <v>22</v>
      </c>
      <c r="B35" s="1">
        <f t="shared" si="1"/>
        <v>3166.894343756237</v>
      </c>
      <c r="C35" s="1">
        <f t="shared" si="2"/>
        <v>1511.3781796921958</v>
      </c>
      <c r="D35" s="1">
        <f t="shared" si="3"/>
        <v>1655.5161640640413</v>
      </c>
      <c r="E35" s="1">
        <f t="shared" si="4"/>
        <v>219224.11036217998</v>
      </c>
    </row>
    <row r="36" spans="1:5">
      <c r="A36">
        <f t="shared" si="0"/>
        <v>23</v>
      </c>
      <c r="B36" s="1">
        <f t="shared" si="1"/>
        <v>3166.894343756237</v>
      </c>
      <c r="C36" s="1">
        <f t="shared" si="2"/>
        <v>1522.7135160398873</v>
      </c>
      <c r="D36" s="1">
        <f t="shared" si="3"/>
        <v>1644.1808277163498</v>
      </c>
      <c r="E36" s="1">
        <f t="shared" si="4"/>
        <v>217701.39684614009</v>
      </c>
    </row>
    <row r="37" spans="1:5">
      <c r="A37">
        <f t="shared" si="0"/>
        <v>24</v>
      </c>
      <c r="B37" s="1">
        <f t="shared" si="1"/>
        <v>3166.894343756237</v>
      </c>
      <c r="C37" s="1">
        <f t="shared" si="2"/>
        <v>1534.1338674101864</v>
      </c>
      <c r="D37" s="1">
        <f t="shared" si="3"/>
        <v>1632.7604763460506</v>
      </c>
      <c r="E37" s="1">
        <f t="shared" si="4"/>
        <v>216167.26297872991</v>
      </c>
    </row>
    <row r="38" spans="1:5">
      <c r="A38">
        <f t="shared" si="0"/>
        <v>25</v>
      </c>
      <c r="B38" s="1">
        <f t="shared" si="1"/>
        <v>3166.894343756237</v>
      </c>
      <c r="C38" s="1">
        <f t="shared" si="2"/>
        <v>1545.6398714157629</v>
      </c>
      <c r="D38" s="1">
        <f t="shared" si="3"/>
        <v>1621.2544723404742</v>
      </c>
      <c r="E38" s="1">
        <f t="shared" si="4"/>
        <v>214621.62310731414</v>
      </c>
    </row>
    <row r="39" spans="1:5">
      <c r="A39">
        <f t="shared" si="0"/>
        <v>26</v>
      </c>
      <c r="B39" s="1">
        <f t="shared" si="1"/>
        <v>3166.894343756237</v>
      </c>
      <c r="C39" s="1">
        <f t="shared" si="2"/>
        <v>1557.2321704513811</v>
      </c>
      <c r="D39" s="1">
        <f t="shared" si="3"/>
        <v>1609.662173304856</v>
      </c>
      <c r="E39" s="1">
        <f t="shared" si="4"/>
        <v>213064.39093686276</v>
      </c>
    </row>
    <row r="40" spans="1:5">
      <c r="A40">
        <f t="shared" si="0"/>
        <v>27</v>
      </c>
      <c r="B40" s="1">
        <f t="shared" si="1"/>
        <v>3166.894343756237</v>
      </c>
      <c r="C40" s="1">
        <f t="shared" si="2"/>
        <v>1568.9114117297663</v>
      </c>
      <c r="D40" s="1">
        <f t="shared" si="3"/>
        <v>1597.9829320264707</v>
      </c>
      <c r="E40" s="1">
        <f t="shared" si="4"/>
        <v>211495.47952513301</v>
      </c>
    </row>
    <row r="41" spans="1:5">
      <c r="A41">
        <f t="shared" si="0"/>
        <v>28</v>
      </c>
      <c r="B41" s="1">
        <f t="shared" si="1"/>
        <v>3166.894343756237</v>
      </c>
      <c r="C41" s="1">
        <f t="shared" si="2"/>
        <v>1580.6782473177395</v>
      </c>
      <c r="D41" s="1">
        <f t="shared" si="3"/>
        <v>1586.2160964384975</v>
      </c>
      <c r="E41" s="1">
        <f t="shared" si="4"/>
        <v>209914.80127781528</v>
      </c>
    </row>
    <row r="42" spans="1:5">
      <c r="A42">
        <f t="shared" si="0"/>
        <v>29</v>
      </c>
      <c r="B42" s="1">
        <f t="shared" si="1"/>
        <v>3166.894343756237</v>
      </c>
      <c r="C42" s="1">
        <f t="shared" si="2"/>
        <v>1592.5333341726225</v>
      </c>
      <c r="D42" s="1">
        <f t="shared" si="3"/>
        <v>1574.3610095836145</v>
      </c>
      <c r="E42" s="1">
        <f t="shared" si="4"/>
        <v>208322.26794364266</v>
      </c>
    </row>
    <row r="43" spans="1:5">
      <c r="A43">
        <f t="shared" si="0"/>
        <v>30</v>
      </c>
      <c r="B43" s="1">
        <f t="shared" si="1"/>
        <v>3166.894343756237</v>
      </c>
      <c r="C43" s="1">
        <f t="shared" si="2"/>
        <v>1604.4773341789171</v>
      </c>
      <c r="D43" s="1">
        <f t="shared" si="3"/>
        <v>1562.41700957732</v>
      </c>
      <c r="E43" s="1">
        <f t="shared" si="4"/>
        <v>206717.79060946373</v>
      </c>
    </row>
    <row r="44" spans="1:5">
      <c r="A44">
        <f t="shared" si="0"/>
        <v>31</v>
      </c>
      <c r="B44" s="1">
        <f t="shared" si="1"/>
        <v>3166.894343756237</v>
      </c>
      <c r="C44" s="1">
        <f t="shared" si="2"/>
        <v>1616.510914185259</v>
      </c>
      <c r="D44" s="1">
        <f t="shared" si="3"/>
        <v>1550.383429570978</v>
      </c>
      <c r="E44" s="1">
        <f t="shared" si="4"/>
        <v>205101.27969527847</v>
      </c>
    </row>
    <row r="45" spans="1:5">
      <c r="A45">
        <f t="shared" si="0"/>
        <v>32</v>
      </c>
      <c r="B45" s="1">
        <f t="shared" si="1"/>
        <v>3166.894343756237</v>
      </c>
      <c r="C45" s="1">
        <f t="shared" si="2"/>
        <v>1628.6347460416487</v>
      </c>
      <c r="D45" s="1">
        <f t="shared" si="3"/>
        <v>1538.2595977145884</v>
      </c>
      <c r="E45" s="1">
        <f t="shared" si="4"/>
        <v>203472.64494923683</v>
      </c>
    </row>
    <row r="46" spans="1:5">
      <c r="A46">
        <f t="shared" si="0"/>
        <v>33</v>
      </c>
      <c r="B46" s="1">
        <f t="shared" si="1"/>
        <v>3166.894343756237</v>
      </c>
      <c r="C46" s="1">
        <f t="shared" si="2"/>
        <v>1640.849506636961</v>
      </c>
      <c r="D46" s="1">
        <f t="shared" si="3"/>
        <v>1526.0448371192761</v>
      </c>
      <c r="E46" s="1">
        <f t="shared" si="4"/>
        <v>201831.79544259986</v>
      </c>
    </row>
    <row r="47" spans="1:5">
      <c r="A47">
        <f t="shared" si="0"/>
        <v>34</v>
      </c>
      <c r="B47" s="1">
        <f t="shared" si="1"/>
        <v>3166.894343756237</v>
      </c>
      <c r="C47" s="1">
        <f t="shared" si="2"/>
        <v>1653.1558779367381</v>
      </c>
      <c r="D47" s="1">
        <f t="shared" si="3"/>
        <v>1513.738465819499</v>
      </c>
      <c r="E47" s="1">
        <f t="shared" si="4"/>
        <v>200178.63956466311</v>
      </c>
    </row>
    <row r="48" spans="1:5">
      <c r="A48">
        <f t="shared" si="0"/>
        <v>35</v>
      </c>
      <c r="B48" s="1">
        <f t="shared" si="1"/>
        <v>3166.894343756237</v>
      </c>
      <c r="C48" s="1">
        <f t="shared" si="2"/>
        <v>1665.5545470212637</v>
      </c>
      <c r="D48" s="1">
        <f t="shared" si="3"/>
        <v>1501.3397967349733</v>
      </c>
      <c r="E48" s="1">
        <f t="shared" si="4"/>
        <v>198513.08501764186</v>
      </c>
    </row>
    <row r="49" spans="1:5">
      <c r="A49">
        <f t="shared" si="0"/>
        <v>36</v>
      </c>
      <c r="B49" s="1">
        <f t="shared" si="1"/>
        <v>3166.894343756237</v>
      </c>
      <c r="C49" s="1">
        <f t="shared" si="2"/>
        <v>1678.0462061239232</v>
      </c>
      <c r="D49" s="1">
        <f t="shared" si="3"/>
        <v>1488.8481376323139</v>
      </c>
      <c r="E49" s="1">
        <f t="shared" si="4"/>
        <v>196835.03881151794</v>
      </c>
    </row>
    <row r="50" spans="1:5">
      <c r="A50">
        <f t="shared" si="0"/>
        <v>37</v>
      </c>
      <c r="B50" s="1">
        <f t="shared" si="1"/>
        <v>3166.894343756237</v>
      </c>
      <c r="C50" s="1">
        <f t="shared" si="2"/>
        <v>1690.6315526698527</v>
      </c>
      <c r="D50" s="1">
        <f t="shared" si="3"/>
        <v>1476.2627910863844</v>
      </c>
      <c r="E50" s="1">
        <f t="shared" si="4"/>
        <v>195144.40725884808</v>
      </c>
    </row>
    <row r="51" spans="1:5">
      <c r="A51">
        <f t="shared" si="0"/>
        <v>38</v>
      </c>
      <c r="B51" s="1">
        <f t="shared" si="1"/>
        <v>3166.894343756237</v>
      </c>
      <c r="C51" s="1">
        <f t="shared" si="2"/>
        <v>1703.3112893148766</v>
      </c>
      <c r="D51" s="1">
        <f t="shared" si="3"/>
        <v>1463.5830544413604</v>
      </c>
      <c r="E51" s="1">
        <f t="shared" si="4"/>
        <v>193441.0959695332</v>
      </c>
    </row>
    <row r="52" spans="1:5">
      <c r="A52">
        <f t="shared" si="0"/>
        <v>39</v>
      </c>
      <c r="B52" s="1">
        <f t="shared" si="1"/>
        <v>3166.894343756237</v>
      </c>
      <c r="C52" s="1">
        <f t="shared" si="2"/>
        <v>1716.0861239847382</v>
      </c>
      <c r="D52" s="1">
        <f t="shared" si="3"/>
        <v>1450.8082197714989</v>
      </c>
      <c r="E52" s="1">
        <f t="shared" si="4"/>
        <v>191725.00984554845</v>
      </c>
    </row>
    <row r="53" spans="1:5">
      <c r="A53">
        <f t="shared" si="0"/>
        <v>40</v>
      </c>
      <c r="B53" s="1">
        <f t="shared" si="1"/>
        <v>3166.894343756237</v>
      </c>
      <c r="C53" s="1">
        <f t="shared" si="2"/>
        <v>1728.9567699146237</v>
      </c>
      <c r="D53" s="1">
        <f t="shared" si="3"/>
        <v>1437.9375738416134</v>
      </c>
      <c r="E53" s="1">
        <f t="shared" si="4"/>
        <v>189996.05307563383</v>
      </c>
    </row>
    <row r="54" spans="1:5">
      <c r="A54">
        <f t="shared" si="0"/>
        <v>41</v>
      </c>
      <c r="B54" s="1">
        <f t="shared" si="1"/>
        <v>3166.894343756237</v>
      </c>
      <c r="C54" s="1">
        <f t="shared" si="2"/>
        <v>1741.9239456889834</v>
      </c>
      <c r="D54" s="1">
        <f t="shared" si="3"/>
        <v>1424.9703980672537</v>
      </c>
      <c r="E54" s="1">
        <f t="shared" si="4"/>
        <v>188254.12912994483</v>
      </c>
    </row>
    <row r="55" spans="1:5">
      <c r="A55">
        <f t="shared" si="0"/>
        <v>42</v>
      </c>
      <c r="B55" s="1">
        <f t="shared" si="1"/>
        <v>3166.894343756237</v>
      </c>
      <c r="C55" s="1">
        <f t="shared" si="2"/>
        <v>1754.9883752816509</v>
      </c>
      <c r="D55" s="1">
        <f t="shared" si="3"/>
        <v>1411.9059684745862</v>
      </c>
      <c r="E55" s="1">
        <f t="shared" si="4"/>
        <v>186499.14075466318</v>
      </c>
    </row>
    <row r="56" spans="1:5">
      <c r="A56">
        <f t="shared" si="0"/>
        <v>43</v>
      </c>
      <c r="B56" s="1">
        <f t="shared" si="1"/>
        <v>3166.894343756237</v>
      </c>
      <c r="C56" s="1">
        <f t="shared" si="2"/>
        <v>1768.1507880962633</v>
      </c>
      <c r="D56" s="1">
        <f t="shared" si="3"/>
        <v>1398.7435556599737</v>
      </c>
      <c r="E56" s="1">
        <f t="shared" si="4"/>
        <v>184730.98996656691</v>
      </c>
    </row>
    <row r="57" spans="1:5">
      <c r="A57">
        <f t="shared" si="0"/>
        <v>44</v>
      </c>
      <c r="B57" s="1">
        <f t="shared" si="1"/>
        <v>3166.894343756237</v>
      </c>
      <c r="C57" s="1">
        <f t="shared" si="2"/>
        <v>1781.4119190069853</v>
      </c>
      <c r="D57" s="1">
        <f t="shared" si="3"/>
        <v>1385.4824247492518</v>
      </c>
      <c r="E57" s="1">
        <f t="shared" si="4"/>
        <v>182949.57804755992</v>
      </c>
    </row>
    <row r="58" spans="1:5">
      <c r="A58">
        <f t="shared" si="0"/>
        <v>45</v>
      </c>
      <c r="B58" s="1">
        <f t="shared" si="1"/>
        <v>3166.894343756237</v>
      </c>
      <c r="C58" s="1">
        <f t="shared" si="2"/>
        <v>1794.7725083995376</v>
      </c>
      <c r="D58" s="1">
        <f t="shared" si="3"/>
        <v>1372.1218353566994</v>
      </c>
      <c r="E58" s="1">
        <f t="shared" si="4"/>
        <v>181154.80553916038</v>
      </c>
    </row>
    <row r="59" spans="1:5">
      <c r="A59">
        <f t="shared" si="0"/>
        <v>46</v>
      </c>
      <c r="B59" s="1">
        <f t="shared" si="1"/>
        <v>3166.894343756237</v>
      </c>
      <c r="C59" s="1">
        <f t="shared" si="2"/>
        <v>1808.2333022125342</v>
      </c>
      <c r="D59" s="1">
        <f t="shared" si="3"/>
        <v>1358.6610415437028</v>
      </c>
      <c r="E59" s="1">
        <f t="shared" si="4"/>
        <v>179346.57223694786</v>
      </c>
    </row>
    <row r="60" spans="1:5">
      <c r="A60">
        <f t="shared" si="0"/>
        <v>47</v>
      </c>
      <c r="B60" s="1">
        <f t="shared" si="1"/>
        <v>3166.894343756237</v>
      </c>
      <c r="C60" s="1">
        <f t="shared" si="2"/>
        <v>1821.7950519791282</v>
      </c>
      <c r="D60" s="1">
        <f t="shared" si="3"/>
        <v>1345.0992917771089</v>
      </c>
      <c r="E60" s="1">
        <f t="shared" si="4"/>
        <v>177524.77718496873</v>
      </c>
    </row>
    <row r="61" spans="1:5">
      <c r="A61">
        <f t="shared" si="0"/>
        <v>48</v>
      </c>
      <c r="B61" s="1">
        <f t="shared" si="1"/>
        <v>3166.894343756237</v>
      </c>
      <c r="C61" s="1">
        <f t="shared" si="2"/>
        <v>1835.4585148689716</v>
      </c>
      <c r="D61" s="1">
        <f t="shared" si="3"/>
        <v>1331.4358288872654</v>
      </c>
      <c r="E61" s="1">
        <f t="shared" si="4"/>
        <v>175689.31867009975</v>
      </c>
    </row>
    <row r="62" spans="1:5">
      <c r="A62">
        <f t="shared" si="0"/>
        <v>49</v>
      </c>
      <c r="B62" s="1">
        <f t="shared" si="1"/>
        <v>3166.894343756237</v>
      </c>
      <c r="C62" s="1">
        <f t="shared" si="2"/>
        <v>1849.2244537304889</v>
      </c>
      <c r="D62" s="1">
        <f t="shared" si="3"/>
        <v>1317.6698900257481</v>
      </c>
      <c r="E62" s="1">
        <f t="shared" si="4"/>
        <v>173840.09421636927</v>
      </c>
    </row>
    <row r="63" spans="1:5">
      <c r="A63">
        <f t="shared" si="0"/>
        <v>50</v>
      </c>
      <c r="B63" s="1">
        <f t="shared" si="1"/>
        <v>3166.894343756237</v>
      </c>
      <c r="C63" s="1">
        <f t="shared" si="2"/>
        <v>1863.0936371334676</v>
      </c>
      <c r="D63" s="1">
        <f t="shared" si="3"/>
        <v>1303.8007066227694</v>
      </c>
      <c r="E63" s="1">
        <f t="shared" si="4"/>
        <v>171977.00057923581</v>
      </c>
    </row>
    <row r="64" spans="1:5">
      <c r="A64">
        <f t="shared" si="0"/>
        <v>51</v>
      </c>
      <c r="B64" s="1">
        <f t="shared" si="1"/>
        <v>3166.894343756237</v>
      </c>
      <c r="C64" s="1">
        <f t="shared" si="2"/>
        <v>1877.0668394119684</v>
      </c>
      <c r="D64" s="1">
        <f t="shared" si="3"/>
        <v>1289.8275043442686</v>
      </c>
      <c r="E64" s="1">
        <f t="shared" si="4"/>
        <v>170099.93373982384</v>
      </c>
    </row>
    <row r="65" spans="1:5">
      <c r="A65">
        <f t="shared" si="0"/>
        <v>52</v>
      </c>
      <c r="B65" s="1">
        <f t="shared" si="1"/>
        <v>3166.894343756237</v>
      </c>
      <c r="C65" s="1">
        <f t="shared" si="2"/>
        <v>1891.1448407075584</v>
      </c>
      <c r="D65" s="1">
        <f t="shared" si="3"/>
        <v>1275.7495030486787</v>
      </c>
      <c r="E65" s="1">
        <f t="shared" si="4"/>
        <v>168208.78889911628</v>
      </c>
    </row>
    <row r="66" spans="1:5">
      <c r="A66">
        <f t="shared" si="0"/>
        <v>53</v>
      </c>
      <c r="B66" s="1">
        <f t="shared" si="1"/>
        <v>3166.894343756237</v>
      </c>
      <c r="C66" s="1">
        <f t="shared" si="2"/>
        <v>1905.3284270128649</v>
      </c>
      <c r="D66" s="1">
        <f t="shared" si="3"/>
        <v>1261.5659167433721</v>
      </c>
      <c r="E66" s="1">
        <f t="shared" si="4"/>
        <v>166303.46047210341</v>
      </c>
    </row>
    <row r="67" spans="1:5">
      <c r="A67">
        <f t="shared" si="0"/>
        <v>54</v>
      </c>
      <c r="B67" s="1">
        <f t="shared" si="1"/>
        <v>3166.894343756237</v>
      </c>
      <c r="C67" s="1">
        <f t="shared" si="2"/>
        <v>1919.6183902154614</v>
      </c>
      <c r="D67" s="1">
        <f t="shared" si="3"/>
        <v>1247.2759535407756</v>
      </c>
      <c r="E67" s="1">
        <f t="shared" si="4"/>
        <v>164383.84208188794</v>
      </c>
    </row>
    <row r="68" spans="1:5">
      <c r="A68">
        <f t="shared" si="0"/>
        <v>55</v>
      </c>
      <c r="B68" s="1">
        <f t="shared" si="1"/>
        <v>3166.894343756237</v>
      </c>
      <c r="C68" s="1">
        <f t="shared" si="2"/>
        <v>1934.0155281420775</v>
      </c>
      <c r="D68" s="1">
        <f t="shared" si="3"/>
        <v>1232.8788156141595</v>
      </c>
      <c r="E68" s="1">
        <f t="shared" si="4"/>
        <v>162449.82655374586</v>
      </c>
    </row>
    <row r="69" spans="1:5">
      <c r="A69">
        <f t="shared" si="0"/>
        <v>56</v>
      </c>
      <c r="B69" s="1">
        <f t="shared" si="1"/>
        <v>3166.894343756237</v>
      </c>
      <c r="C69" s="1">
        <f t="shared" si="2"/>
        <v>1948.5206446031432</v>
      </c>
      <c r="D69" s="1">
        <f t="shared" si="3"/>
        <v>1218.3736991530939</v>
      </c>
      <c r="E69" s="1">
        <f t="shared" si="4"/>
        <v>160501.30590914271</v>
      </c>
    </row>
    <row r="70" spans="1:5">
      <c r="A70">
        <f t="shared" si="0"/>
        <v>57</v>
      </c>
      <c r="B70" s="1">
        <f t="shared" si="1"/>
        <v>3166.894343756237</v>
      </c>
      <c r="C70" s="1">
        <f t="shared" si="2"/>
        <v>1963.1345494376667</v>
      </c>
      <c r="D70" s="1">
        <f t="shared" si="3"/>
        <v>1203.7597943185704</v>
      </c>
      <c r="E70" s="1">
        <f t="shared" si="4"/>
        <v>158538.17135970504</v>
      </c>
    </row>
    <row r="71" spans="1:5">
      <c r="A71">
        <f t="shared" si="0"/>
        <v>58</v>
      </c>
      <c r="B71" s="1">
        <f t="shared" si="1"/>
        <v>3166.894343756237</v>
      </c>
      <c r="C71" s="1">
        <f t="shared" si="2"/>
        <v>1977.8580585584493</v>
      </c>
      <c r="D71" s="1">
        <f t="shared" si="3"/>
        <v>1189.0362851977877</v>
      </c>
      <c r="E71" s="1">
        <f t="shared" si="4"/>
        <v>156560.31330114658</v>
      </c>
    </row>
    <row r="72" spans="1:5">
      <c r="A72">
        <f t="shared" si="0"/>
        <v>59</v>
      </c>
      <c r="B72" s="1">
        <f t="shared" si="1"/>
        <v>3166.894343756237</v>
      </c>
      <c r="C72" s="1">
        <f t="shared" si="2"/>
        <v>1992.6919939976376</v>
      </c>
      <c r="D72" s="1">
        <f t="shared" si="3"/>
        <v>1174.2023497585994</v>
      </c>
      <c r="E72" s="1">
        <f t="shared" si="4"/>
        <v>154567.62130714895</v>
      </c>
    </row>
    <row r="73" spans="1:5">
      <c r="A73">
        <f t="shared" si="0"/>
        <v>60</v>
      </c>
      <c r="B73" s="1">
        <f t="shared" si="1"/>
        <v>3166.894343756237</v>
      </c>
      <c r="C73" s="1">
        <f t="shared" si="2"/>
        <v>2007.63718395262</v>
      </c>
      <c r="D73" s="1">
        <f t="shared" si="3"/>
        <v>1159.257159803617</v>
      </c>
      <c r="E73" s="1">
        <f t="shared" si="4"/>
        <v>152559.98412319634</v>
      </c>
    </row>
    <row r="74" spans="1:5">
      <c r="A74">
        <f t="shared" si="0"/>
        <v>61</v>
      </c>
      <c r="B74" s="1">
        <f t="shared" si="1"/>
        <v>3166.894343756237</v>
      </c>
      <c r="C74" s="1">
        <f t="shared" si="2"/>
        <v>2022.6944628322647</v>
      </c>
      <c r="D74" s="1">
        <f t="shared" si="3"/>
        <v>1144.1998809239724</v>
      </c>
      <c r="E74" s="1">
        <f t="shared" si="4"/>
        <v>150537.28966036407</v>
      </c>
    </row>
    <row r="75" spans="1:5">
      <c r="A75">
        <f t="shared" si="0"/>
        <v>62</v>
      </c>
      <c r="B75" s="1">
        <f t="shared" si="1"/>
        <v>3166.894343756237</v>
      </c>
      <c r="C75" s="1">
        <f t="shared" si="2"/>
        <v>2037.8646713035066</v>
      </c>
      <c r="D75" s="1">
        <f t="shared" si="3"/>
        <v>1129.0296724527304</v>
      </c>
      <c r="E75" s="1">
        <f t="shared" si="4"/>
        <v>148499.42498906056</v>
      </c>
    </row>
    <row r="76" spans="1:5">
      <c r="A76">
        <f t="shared" si="0"/>
        <v>63</v>
      </c>
      <c r="B76" s="1">
        <f t="shared" si="1"/>
        <v>3166.894343756237</v>
      </c>
      <c r="C76" s="1">
        <f t="shared" si="2"/>
        <v>2053.1486563382832</v>
      </c>
      <c r="D76" s="1">
        <f t="shared" si="3"/>
        <v>1113.7456874179541</v>
      </c>
      <c r="E76" s="1">
        <f t="shared" si="4"/>
        <v>146446.27633272228</v>
      </c>
    </row>
    <row r="77" spans="1:5">
      <c r="A77">
        <f t="shared" si="0"/>
        <v>64</v>
      </c>
      <c r="B77" s="1">
        <f t="shared" si="1"/>
        <v>3166.894343756237</v>
      </c>
      <c r="C77" s="1">
        <f t="shared" si="2"/>
        <v>2068.5472712608198</v>
      </c>
      <c r="D77" s="1">
        <f t="shared" si="3"/>
        <v>1098.347072495417</v>
      </c>
      <c r="E77" s="1">
        <f t="shared" si="4"/>
        <v>144377.72906146146</v>
      </c>
    </row>
    <row r="78" spans="1:5">
      <c r="A78">
        <f t="shared" si="0"/>
        <v>65</v>
      </c>
      <c r="B78" s="1">
        <f t="shared" si="1"/>
        <v>3166.894343756237</v>
      </c>
      <c r="C78" s="1">
        <f t="shared" si="2"/>
        <v>2084.061375795276</v>
      </c>
      <c r="D78" s="1">
        <f t="shared" si="3"/>
        <v>1082.832967960961</v>
      </c>
      <c r="E78" s="1">
        <f t="shared" si="4"/>
        <v>142293.66768566618</v>
      </c>
    </row>
    <row r="79" spans="1:5">
      <c r="A79">
        <f t="shared" si="0"/>
        <v>66</v>
      </c>
      <c r="B79" s="1">
        <f t="shared" si="1"/>
        <v>3166.894343756237</v>
      </c>
      <c r="C79" s="1">
        <f t="shared" si="2"/>
        <v>2099.6918361137405</v>
      </c>
      <c r="D79" s="1">
        <f t="shared" si="3"/>
        <v>1067.2025076424964</v>
      </c>
      <c r="E79" s="1">
        <f t="shared" si="4"/>
        <v>140193.97584955243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3166.894343756237</v>
      </c>
      <c r="C80" s="1">
        <f t="shared" ref="C80:C143" si="7">IF(A80="","",B80-D80)</f>
        <v>2115.439524884594</v>
      </c>
      <c r="D80" s="1">
        <f t="shared" ref="D80:D143" si="8">IF(A80="","",(E79*($B$6/$B$8)))</f>
        <v>1051.4548188716433</v>
      </c>
      <c r="E80" s="1">
        <f t="shared" ref="E80:E143" si="9">IF(A80="","",E79-C80)</f>
        <v>138078.53632466783</v>
      </c>
    </row>
    <row r="81" spans="1:5">
      <c r="A81">
        <f t="shared" si="5"/>
        <v>68</v>
      </c>
      <c r="B81" s="1">
        <f t="shared" si="6"/>
        <v>3166.894343756237</v>
      </c>
      <c r="C81" s="1">
        <f t="shared" si="7"/>
        <v>2131.3053213212283</v>
      </c>
      <c r="D81" s="1">
        <f t="shared" si="8"/>
        <v>1035.5890224350087</v>
      </c>
      <c r="E81" s="1">
        <f t="shared" si="9"/>
        <v>135947.23100334659</v>
      </c>
    </row>
    <row r="82" spans="1:5">
      <c r="A82">
        <f t="shared" si="5"/>
        <v>69</v>
      </c>
      <c r="B82" s="1">
        <f t="shared" si="6"/>
        <v>3166.894343756237</v>
      </c>
      <c r="C82" s="1">
        <f t="shared" si="7"/>
        <v>2147.2901112311374</v>
      </c>
      <c r="D82" s="1">
        <f t="shared" si="8"/>
        <v>1019.6042325250994</v>
      </c>
      <c r="E82" s="1">
        <f t="shared" si="9"/>
        <v>133799.94089211547</v>
      </c>
    </row>
    <row r="83" spans="1:5">
      <c r="A83">
        <f t="shared" si="5"/>
        <v>70</v>
      </c>
      <c r="B83" s="1">
        <f t="shared" si="6"/>
        <v>3166.894343756237</v>
      </c>
      <c r="C83" s="1">
        <f t="shared" si="7"/>
        <v>2163.394787065371</v>
      </c>
      <c r="D83" s="1">
        <f t="shared" si="8"/>
        <v>1003.499556690866</v>
      </c>
      <c r="E83" s="1">
        <f t="shared" si="9"/>
        <v>131636.5461050501</v>
      </c>
    </row>
    <row r="84" spans="1:5">
      <c r="A84">
        <f t="shared" si="5"/>
        <v>71</v>
      </c>
      <c r="B84" s="1">
        <f t="shared" si="6"/>
        <v>3166.894343756237</v>
      </c>
      <c r="C84" s="1">
        <f t="shared" si="7"/>
        <v>2179.6202479683616</v>
      </c>
      <c r="D84" s="1">
        <f t="shared" si="8"/>
        <v>987.27409578787569</v>
      </c>
      <c r="E84" s="1">
        <f t="shared" si="9"/>
        <v>129456.92585708175</v>
      </c>
    </row>
    <row r="85" spans="1:5">
      <c r="A85">
        <f t="shared" si="5"/>
        <v>72</v>
      </c>
      <c r="B85" s="1">
        <f t="shared" si="6"/>
        <v>3166.894343756237</v>
      </c>
      <c r="C85" s="1">
        <f t="shared" si="7"/>
        <v>2195.9673998281241</v>
      </c>
      <c r="D85" s="1">
        <f t="shared" si="8"/>
        <v>970.92694392811302</v>
      </c>
      <c r="E85" s="1">
        <f t="shared" si="9"/>
        <v>127260.95845725363</v>
      </c>
    </row>
    <row r="86" spans="1:5">
      <c r="A86">
        <f t="shared" si="5"/>
        <v>73</v>
      </c>
      <c r="B86" s="1">
        <f t="shared" si="6"/>
        <v>3166.894343756237</v>
      </c>
      <c r="C86" s="1">
        <f t="shared" si="7"/>
        <v>2212.4371553268347</v>
      </c>
      <c r="D86" s="1">
        <f t="shared" si="8"/>
        <v>954.45718842940221</v>
      </c>
      <c r="E86" s="1">
        <f t="shared" si="9"/>
        <v>125048.5213019268</v>
      </c>
    </row>
    <row r="87" spans="1:5">
      <c r="A87">
        <f t="shared" si="5"/>
        <v>74</v>
      </c>
      <c r="B87" s="1">
        <f t="shared" si="6"/>
        <v>3166.894343756237</v>
      </c>
      <c r="C87" s="1">
        <f t="shared" si="7"/>
        <v>2229.0304339917861</v>
      </c>
      <c r="D87" s="1">
        <f t="shared" si="8"/>
        <v>937.86390976445091</v>
      </c>
      <c r="E87" s="1">
        <f t="shared" si="9"/>
        <v>122819.490867935</v>
      </c>
    </row>
    <row r="88" spans="1:5">
      <c r="A88">
        <f t="shared" si="5"/>
        <v>75</v>
      </c>
      <c r="B88" s="1">
        <f t="shared" si="6"/>
        <v>3166.894343756237</v>
      </c>
      <c r="C88" s="1">
        <f t="shared" si="7"/>
        <v>2245.7481622467244</v>
      </c>
      <c r="D88" s="1">
        <f t="shared" si="8"/>
        <v>921.14618150951253</v>
      </c>
      <c r="E88" s="1">
        <f t="shared" si="9"/>
        <v>120573.74270568827</v>
      </c>
    </row>
    <row r="89" spans="1:5">
      <c r="A89">
        <f t="shared" si="5"/>
        <v>76</v>
      </c>
      <c r="B89" s="1">
        <f t="shared" si="6"/>
        <v>3166.894343756237</v>
      </c>
      <c r="C89" s="1">
        <f t="shared" si="7"/>
        <v>2262.5912734635749</v>
      </c>
      <c r="D89" s="1">
        <f t="shared" si="8"/>
        <v>904.30307029266203</v>
      </c>
      <c r="E89" s="1">
        <f t="shared" si="9"/>
        <v>118311.15143222469</v>
      </c>
    </row>
    <row r="90" spans="1:5">
      <c r="A90">
        <f t="shared" si="5"/>
        <v>77</v>
      </c>
      <c r="B90" s="1">
        <f t="shared" si="6"/>
        <v>3166.894343756237</v>
      </c>
      <c r="C90" s="1">
        <f t="shared" si="7"/>
        <v>2279.5607080145519</v>
      </c>
      <c r="D90" s="1">
        <f t="shared" si="8"/>
        <v>887.33363574168516</v>
      </c>
      <c r="E90" s="1">
        <f t="shared" si="9"/>
        <v>116031.59072421014</v>
      </c>
    </row>
    <row r="91" spans="1:5">
      <c r="A91">
        <f t="shared" si="5"/>
        <v>78</v>
      </c>
      <c r="B91" s="1">
        <f t="shared" si="6"/>
        <v>3166.894343756237</v>
      </c>
      <c r="C91" s="1">
        <f t="shared" si="7"/>
        <v>2296.6574133246613</v>
      </c>
      <c r="D91" s="1">
        <f t="shared" si="8"/>
        <v>870.23693043157596</v>
      </c>
      <c r="E91" s="1">
        <f t="shared" si="9"/>
        <v>113734.93331088548</v>
      </c>
    </row>
    <row r="92" spans="1:5">
      <c r="A92">
        <f t="shared" si="5"/>
        <v>79</v>
      </c>
      <c r="B92" s="1">
        <f t="shared" si="6"/>
        <v>3166.894343756237</v>
      </c>
      <c r="C92" s="1">
        <f t="shared" si="7"/>
        <v>2313.8823439245962</v>
      </c>
      <c r="D92" s="1">
        <f t="shared" si="8"/>
        <v>853.01199983164099</v>
      </c>
      <c r="E92" s="1">
        <f t="shared" si="9"/>
        <v>111421.05096696089</v>
      </c>
    </row>
    <row r="93" spans="1:5">
      <c r="A93">
        <f t="shared" si="5"/>
        <v>80</v>
      </c>
      <c r="B93" s="1">
        <f t="shared" si="6"/>
        <v>3166.894343756237</v>
      </c>
      <c r="C93" s="1">
        <f t="shared" si="7"/>
        <v>2331.2364615040306</v>
      </c>
      <c r="D93" s="1">
        <f t="shared" si="8"/>
        <v>835.6578822522066</v>
      </c>
      <c r="E93" s="1">
        <f t="shared" si="9"/>
        <v>109089.81450545686</v>
      </c>
    </row>
    <row r="94" spans="1:5">
      <c r="A94">
        <f t="shared" si="5"/>
        <v>81</v>
      </c>
      <c r="B94" s="1">
        <f t="shared" si="6"/>
        <v>3166.894343756237</v>
      </c>
      <c r="C94" s="1">
        <f t="shared" si="7"/>
        <v>2348.7207349653108</v>
      </c>
      <c r="D94" s="1">
        <f t="shared" si="8"/>
        <v>818.17360879092644</v>
      </c>
      <c r="E94" s="1">
        <f t="shared" si="9"/>
        <v>106741.09377049154</v>
      </c>
    </row>
    <row r="95" spans="1:5">
      <c r="A95">
        <f t="shared" si="5"/>
        <v>82</v>
      </c>
      <c r="B95" s="1">
        <f t="shared" si="6"/>
        <v>3166.894343756237</v>
      </c>
      <c r="C95" s="1">
        <f t="shared" si="7"/>
        <v>2366.3361404775505</v>
      </c>
      <c r="D95" s="1">
        <f t="shared" si="8"/>
        <v>800.55820327868651</v>
      </c>
      <c r="E95" s="1">
        <f t="shared" si="9"/>
        <v>104374.75763001399</v>
      </c>
    </row>
    <row r="96" spans="1:5">
      <c r="A96">
        <f t="shared" si="5"/>
        <v>83</v>
      </c>
      <c r="B96" s="1">
        <f t="shared" si="6"/>
        <v>3166.894343756237</v>
      </c>
      <c r="C96" s="1">
        <f t="shared" si="7"/>
        <v>2384.0836615311323</v>
      </c>
      <c r="D96" s="1">
        <f t="shared" si="8"/>
        <v>782.81068222510487</v>
      </c>
      <c r="E96" s="1">
        <f t="shared" si="9"/>
        <v>101990.67396848286</v>
      </c>
    </row>
    <row r="97" spans="1:5">
      <c r="A97">
        <f t="shared" si="5"/>
        <v>84</v>
      </c>
      <c r="B97" s="1">
        <f t="shared" si="6"/>
        <v>3166.894343756237</v>
      </c>
      <c r="C97" s="1">
        <f t="shared" si="7"/>
        <v>2401.9642889926154</v>
      </c>
      <c r="D97" s="1">
        <f t="shared" si="8"/>
        <v>764.93005476362146</v>
      </c>
      <c r="E97" s="1">
        <f t="shared" si="9"/>
        <v>99588.709679490246</v>
      </c>
    </row>
    <row r="98" spans="1:5">
      <c r="A98">
        <f t="shared" si="5"/>
        <v>85</v>
      </c>
      <c r="B98" s="1">
        <f t="shared" si="6"/>
        <v>3166.894343756237</v>
      </c>
      <c r="C98" s="1">
        <f t="shared" si="7"/>
        <v>2419.9790211600603</v>
      </c>
      <c r="D98" s="1">
        <f t="shared" si="8"/>
        <v>746.91532259617679</v>
      </c>
      <c r="E98" s="1">
        <f t="shared" si="9"/>
        <v>97168.730658330183</v>
      </c>
    </row>
    <row r="99" spans="1:5">
      <c r="A99">
        <f t="shared" si="5"/>
        <v>86</v>
      </c>
      <c r="B99" s="1">
        <f t="shared" si="6"/>
        <v>3166.894343756237</v>
      </c>
      <c r="C99" s="1">
        <f t="shared" si="7"/>
        <v>2438.1288638187607</v>
      </c>
      <c r="D99" s="1">
        <f t="shared" si="8"/>
        <v>728.76547993747636</v>
      </c>
      <c r="E99" s="1">
        <f t="shared" si="9"/>
        <v>94730.601794511429</v>
      </c>
    </row>
    <row r="100" spans="1:5">
      <c r="A100">
        <f t="shared" si="5"/>
        <v>87</v>
      </c>
      <c r="B100" s="1">
        <f t="shared" si="6"/>
        <v>3166.894343756237</v>
      </c>
      <c r="C100" s="1">
        <f t="shared" si="7"/>
        <v>2456.4148302974013</v>
      </c>
      <c r="D100" s="1">
        <f t="shared" si="8"/>
        <v>710.47951345883564</v>
      </c>
      <c r="E100" s="1">
        <f t="shared" si="9"/>
        <v>92274.186964214023</v>
      </c>
    </row>
    <row r="101" spans="1:5">
      <c r="A101">
        <f t="shared" si="5"/>
        <v>88</v>
      </c>
      <c r="B101" s="1">
        <f t="shared" si="6"/>
        <v>3166.894343756237</v>
      </c>
      <c r="C101" s="1">
        <f t="shared" si="7"/>
        <v>2474.8379415246318</v>
      </c>
      <c r="D101" s="1">
        <f t="shared" si="8"/>
        <v>692.05640223160515</v>
      </c>
      <c r="E101" s="1">
        <f t="shared" si="9"/>
        <v>89799.349022689392</v>
      </c>
    </row>
    <row r="102" spans="1:5">
      <c r="A102">
        <f t="shared" si="5"/>
        <v>89</v>
      </c>
      <c r="B102" s="1">
        <f t="shared" si="6"/>
        <v>3166.894343756237</v>
      </c>
      <c r="C102" s="1">
        <f t="shared" si="7"/>
        <v>2493.3992260860668</v>
      </c>
      <c r="D102" s="1">
        <f t="shared" si="8"/>
        <v>673.49511767017043</v>
      </c>
      <c r="E102" s="1">
        <f t="shared" si="9"/>
        <v>87305.949796603323</v>
      </c>
    </row>
    <row r="103" spans="1:5">
      <c r="A103">
        <f t="shared" si="5"/>
        <v>90</v>
      </c>
      <c r="B103" s="1">
        <f t="shared" si="6"/>
        <v>3166.894343756237</v>
      </c>
      <c r="C103" s="1">
        <f t="shared" si="7"/>
        <v>2512.0997202817121</v>
      </c>
      <c r="D103" s="1">
        <f t="shared" si="8"/>
        <v>654.79462347452488</v>
      </c>
      <c r="E103" s="1">
        <f t="shared" si="9"/>
        <v>84793.850076321614</v>
      </c>
    </row>
    <row r="104" spans="1:5">
      <c r="A104">
        <f t="shared" si="5"/>
        <v>91</v>
      </c>
      <c r="B104" s="1">
        <f t="shared" si="6"/>
        <v>3166.894343756237</v>
      </c>
      <c r="C104" s="1">
        <f t="shared" si="7"/>
        <v>2530.940468183825</v>
      </c>
      <c r="D104" s="1">
        <f t="shared" si="8"/>
        <v>635.95387557241213</v>
      </c>
      <c r="E104" s="1">
        <f t="shared" si="9"/>
        <v>82262.909608137794</v>
      </c>
    </row>
    <row r="105" spans="1:5">
      <c r="A105">
        <f t="shared" si="5"/>
        <v>92</v>
      </c>
      <c r="B105" s="1">
        <f t="shared" si="6"/>
        <v>3166.894343756237</v>
      </c>
      <c r="C105" s="1">
        <f t="shared" si="7"/>
        <v>2549.9225216952036</v>
      </c>
      <c r="D105" s="1">
        <f t="shared" si="8"/>
        <v>616.97182206103344</v>
      </c>
      <c r="E105" s="1">
        <f t="shared" si="9"/>
        <v>79712.98708644259</v>
      </c>
    </row>
    <row r="106" spans="1:5">
      <c r="A106">
        <f t="shared" si="5"/>
        <v>93</v>
      </c>
      <c r="B106" s="1">
        <f t="shared" si="6"/>
        <v>3166.894343756237</v>
      </c>
      <c r="C106" s="1">
        <f t="shared" si="7"/>
        <v>2569.0469406079178</v>
      </c>
      <c r="D106" s="1">
        <f t="shared" si="8"/>
        <v>597.84740314831936</v>
      </c>
      <c r="E106" s="1">
        <f t="shared" si="9"/>
        <v>77143.940145834669</v>
      </c>
    </row>
    <row r="107" spans="1:5">
      <c r="A107">
        <f t="shared" si="5"/>
        <v>94</v>
      </c>
      <c r="B107" s="1">
        <f t="shared" si="6"/>
        <v>3166.894343756237</v>
      </c>
      <c r="C107" s="1">
        <f t="shared" si="7"/>
        <v>2588.314792662477</v>
      </c>
      <c r="D107" s="1">
        <f t="shared" si="8"/>
        <v>578.57955109375996</v>
      </c>
      <c r="E107" s="1">
        <f t="shared" si="9"/>
        <v>74555.625353172189</v>
      </c>
    </row>
    <row r="108" spans="1:5">
      <c r="A108">
        <f t="shared" si="5"/>
        <v>95</v>
      </c>
      <c r="B108" s="1">
        <f t="shared" si="6"/>
        <v>3166.894343756237</v>
      </c>
      <c r="C108" s="1">
        <f t="shared" si="7"/>
        <v>2607.7271536074459</v>
      </c>
      <c r="D108" s="1">
        <f t="shared" si="8"/>
        <v>559.16719014879141</v>
      </c>
      <c r="E108" s="1">
        <f t="shared" si="9"/>
        <v>71947.898199564748</v>
      </c>
    </row>
    <row r="109" spans="1:5">
      <c r="A109">
        <f t="shared" si="5"/>
        <v>96</v>
      </c>
      <c r="B109" s="1">
        <f t="shared" si="6"/>
        <v>3166.894343756237</v>
      </c>
      <c r="C109" s="1">
        <f t="shared" si="7"/>
        <v>2627.2851072595013</v>
      </c>
      <c r="D109" s="1">
        <f t="shared" si="8"/>
        <v>539.60923649673555</v>
      </c>
      <c r="E109" s="1">
        <f t="shared" si="9"/>
        <v>69320.613092305241</v>
      </c>
    </row>
    <row r="110" spans="1:5">
      <c r="A110">
        <f t="shared" si="5"/>
        <v>97</v>
      </c>
      <c r="B110" s="1">
        <f t="shared" si="6"/>
        <v>3166.894343756237</v>
      </c>
      <c r="C110" s="1">
        <f t="shared" si="7"/>
        <v>2646.9897455639475</v>
      </c>
      <c r="D110" s="1">
        <f t="shared" si="8"/>
        <v>519.90459819228931</v>
      </c>
      <c r="E110" s="1">
        <f t="shared" si="9"/>
        <v>66673.623346741297</v>
      </c>
    </row>
    <row r="111" spans="1:5">
      <c r="A111">
        <f t="shared" si="5"/>
        <v>98</v>
      </c>
      <c r="B111" s="1">
        <f t="shared" si="6"/>
        <v>3166.894343756237</v>
      </c>
      <c r="C111" s="1">
        <f t="shared" si="7"/>
        <v>2666.8421686556776</v>
      </c>
      <c r="D111" s="1">
        <f t="shared" si="8"/>
        <v>500.05217510055968</v>
      </c>
      <c r="E111" s="1">
        <f t="shared" si="9"/>
        <v>64006.781178085621</v>
      </c>
    </row>
    <row r="112" spans="1:5">
      <c r="A112">
        <f t="shared" si="5"/>
        <v>99</v>
      </c>
      <c r="B112" s="1">
        <f t="shared" si="6"/>
        <v>3166.894343756237</v>
      </c>
      <c r="C112" s="1">
        <f t="shared" si="7"/>
        <v>2686.8434849205951</v>
      </c>
      <c r="D112" s="1">
        <f t="shared" si="8"/>
        <v>480.05085883564215</v>
      </c>
      <c r="E112" s="1">
        <f t="shared" si="9"/>
        <v>61319.937693165026</v>
      </c>
    </row>
    <row r="113" spans="1:5">
      <c r="A113">
        <f t="shared" si="5"/>
        <v>100</v>
      </c>
      <c r="B113" s="1">
        <f t="shared" si="6"/>
        <v>3166.894343756237</v>
      </c>
      <c r="C113" s="1">
        <f t="shared" si="7"/>
        <v>2706.9948110574992</v>
      </c>
      <c r="D113" s="1">
        <f t="shared" si="8"/>
        <v>459.89953269873769</v>
      </c>
      <c r="E113" s="1">
        <f t="shared" si="9"/>
        <v>58612.942882107527</v>
      </c>
    </row>
    <row r="114" spans="1:5">
      <c r="A114">
        <f t="shared" si="5"/>
        <v>101</v>
      </c>
      <c r="B114" s="1">
        <f t="shared" si="6"/>
        <v>3166.894343756237</v>
      </c>
      <c r="C114" s="1">
        <f t="shared" si="7"/>
        <v>2727.2972721404308</v>
      </c>
      <c r="D114" s="1">
        <f t="shared" si="8"/>
        <v>439.59707161580644</v>
      </c>
      <c r="E114" s="1">
        <f t="shared" si="9"/>
        <v>55885.645609967098</v>
      </c>
    </row>
    <row r="115" spans="1:5">
      <c r="A115">
        <f t="shared" si="5"/>
        <v>102</v>
      </c>
      <c r="B115" s="1">
        <f t="shared" si="6"/>
        <v>3166.894343756237</v>
      </c>
      <c r="C115" s="1">
        <f t="shared" si="7"/>
        <v>2747.7520016814838</v>
      </c>
      <c r="D115" s="1">
        <f t="shared" si="8"/>
        <v>419.14234207475323</v>
      </c>
      <c r="E115" s="1">
        <f t="shared" si="9"/>
        <v>53137.893608285616</v>
      </c>
    </row>
    <row r="116" spans="1:5">
      <c r="A116">
        <f t="shared" si="5"/>
        <v>103</v>
      </c>
      <c r="B116" s="1">
        <f t="shared" si="6"/>
        <v>3166.894343756237</v>
      </c>
      <c r="C116" s="1">
        <f t="shared" si="7"/>
        <v>2768.3601416940951</v>
      </c>
      <c r="D116" s="1">
        <f t="shared" si="8"/>
        <v>398.53420206214213</v>
      </c>
      <c r="E116" s="1">
        <f t="shared" si="9"/>
        <v>50369.533466591522</v>
      </c>
    </row>
    <row r="117" spans="1:5">
      <c r="A117">
        <f t="shared" si="5"/>
        <v>104</v>
      </c>
      <c r="B117" s="1">
        <f t="shared" si="6"/>
        <v>3166.894343756237</v>
      </c>
      <c r="C117" s="1">
        <f t="shared" si="7"/>
        <v>2789.1228427568008</v>
      </c>
      <c r="D117" s="1">
        <f t="shared" si="8"/>
        <v>377.7715009994364</v>
      </c>
      <c r="E117" s="1">
        <f t="shared" si="9"/>
        <v>47580.410623834723</v>
      </c>
    </row>
    <row r="118" spans="1:5">
      <c r="A118">
        <f t="shared" si="5"/>
        <v>105</v>
      </c>
      <c r="B118" s="1">
        <f t="shared" si="6"/>
        <v>3166.894343756237</v>
      </c>
      <c r="C118" s="1">
        <f t="shared" si="7"/>
        <v>2810.0412640774766</v>
      </c>
      <c r="D118" s="1">
        <f t="shared" si="8"/>
        <v>356.85307967876042</v>
      </c>
      <c r="E118" s="1">
        <f t="shared" si="9"/>
        <v>44770.369359757249</v>
      </c>
    </row>
    <row r="119" spans="1:5">
      <c r="A119">
        <f t="shared" si="5"/>
        <v>106</v>
      </c>
      <c r="B119" s="1">
        <f t="shared" si="6"/>
        <v>3166.894343756237</v>
      </c>
      <c r="C119" s="1">
        <f t="shared" si="7"/>
        <v>2831.1165735580576</v>
      </c>
      <c r="D119" s="1">
        <f t="shared" si="8"/>
        <v>335.77777019817938</v>
      </c>
      <c r="E119" s="1">
        <f t="shared" si="9"/>
        <v>41939.252786199191</v>
      </c>
    </row>
    <row r="120" spans="1:5">
      <c r="A120">
        <f t="shared" si="5"/>
        <v>107</v>
      </c>
      <c r="B120" s="1">
        <f t="shared" si="6"/>
        <v>3166.894343756237</v>
      </c>
      <c r="C120" s="1">
        <f t="shared" si="7"/>
        <v>2852.3499478597432</v>
      </c>
      <c r="D120" s="1">
        <f t="shared" si="8"/>
        <v>314.54439589649394</v>
      </c>
      <c r="E120" s="1">
        <f t="shared" si="9"/>
        <v>39086.902838339447</v>
      </c>
    </row>
    <row r="121" spans="1:5">
      <c r="A121">
        <f t="shared" si="5"/>
        <v>108</v>
      </c>
      <c r="B121" s="1">
        <f t="shared" si="6"/>
        <v>3166.894343756237</v>
      </c>
      <c r="C121" s="1">
        <f t="shared" si="7"/>
        <v>2873.7425724686914</v>
      </c>
      <c r="D121" s="1">
        <f t="shared" si="8"/>
        <v>293.15177128754584</v>
      </c>
      <c r="E121" s="1">
        <f t="shared" si="9"/>
        <v>36213.160265870756</v>
      </c>
    </row>
    <row r="122" spans="1:5">
      <c r="A122">
        <f t="shared" si="5"/>
        <v>109</v>
      </c>
      <c r="B122" s="1">
        <f t="shared" si="6"/>
        <v>3166.894343756237</v>
      </c>
      <c r="C122" s="1">
        <f t="shared" si="7"/>
        <v>2895.2956417622063</v>
      </c>
      <c r="D122" s="1">
        <f t="shared" si="8"/>
        <v>271.59870199403065</v>
      </c>
      <c r="E122" s="1">
        <f t="shared" si="9"/>
        <v>33317.864624108552</v>
      </c>
    </row>
    <row r="123" spans="1:5">
      <c r="A123">
        <f t="shared" si="5"/>
        <v>110</v>
      </c>
      <c r="B123" s="1">
        <f t="shared" si="6"/>
        <v>3166.894343756237</v>
      </c>
      <c r="C123" s="1">
        <f t="shared" si="7"/>
        <v>2917.0103590754229</v>
      </c>
      <c r="D123" s="1">
        <f t="shared" si="8"/>
        <v>249.88398468081414</v>
      </c>
      <c r="E123" s="1">
        <f t="shared" si="9"/>
        <v>30400.854265033129</v>
      </c>
    </row>
    <row r="124" spans="1:5">
      <c r="A124">
        <f t="shared" si="5"/>
        <v>111</v>
      </c>
      <c r="B124" s="1">
        <f t="shared" si="6"/>
        <v>3166.894343756237</v>
      </c>
      <c r="C124" s="1">
        <f t="shared" si="7"/>
        <v>2938.8879367684885</v>
      </c>
      <c r="D124" s="1">
        <f t="shared" si="8"/>
        <v>228.00640698774845</v>
      </c>
      <c r="E124" s="1">
        <f t="shared" si="9"/>
        <v>27461.96632826464</v>
      </c>
    </row>
    <row r="125" spans="1:5">
      <c r="A125">
        <f t="shared" si="5"/>
        <v>112</v>
      </c>
      <c r="B125" s="1">
        <f t="shared" si="6"/>
        <v>3166.894343756237</v>
      </c>
      <c r="C125" s="1">
        <f t="shared" si="7"/>
        <v>2960.9295962942524</v>
      </c>
      <c r="D125" s="1">
        <f t="shared" si="8"/>
        <v>205.96474746198479</v>
      </c>
      <c r="E125" s="1">
        <f t="shared" si="9"/>
        <v>24501.036731970387</v>
      </c>
    </row>
    <row r="126" spans="1:5">
      <c r="A126">
        <f t="shared" si="5"/>
        <v>113</v>
      </c>
      <c r="B126" s="1">
        <f t="shared" si="6"/>
        <v>3166.894343756237</v>
      </c>
      <c r="C126" s="1">
        <f t="shared" si="7"/>
        <v>2983.1365682664591</v>
      </c>
      <c r="D126" s="1">
        <f t="shared" si="8"/>
        <v>183.75777548977788</v>
      </c>
      <c r="E126" s="1">
        <f t="shared" si="9"/>
        <v>21517.900163703929</v>
      </c>
    </row>
    <row r="127" spans="1:5">
      <c r="A127">
        <f t="shared" si="5"/>
        <v>114</v>
      </c>
      <c r="B127" s="1">
        <f t="shared" si="6"/>
        <v>3166.894343756237</v>
      </c>
      <c r="C127" s="1">
        <f t="shared" si="7"/>
        <v>3005.5100925284578</v>
      </c>
      <c r="D127" s="1">
        <f t="shared" si="8"/>
        <v>161.38425122777946</v>
      </c>
      <c r="E127" s="1">
        <f t="shared" si="9"/>
        <v>18512.390071175472</v>
      </c>
    </row>
    <row r="128" spans="1:5">
      <c r="A128">
        <f t="shared" si="5"/>
        <v>115</v>
      </c>
      <c r="B128" s="1">
        <f t="shared" si="6"/>
        <v>3166.894343756237</v>
      </c>
      <c r="C128" s="1">
        <f t="shared" si="7"/>
        <v>3028.051418222421</v>
      </c>
      <c r="D128" s="1">
        <f t="shared" si="8"/>
        <v>138.84292553381604</v>
      </c>
      <c r="E128" s="1">
        <f t="shared" si="9"/>
        <v>15484.338652953051</v>
      </c>
    </row>
    <row r="129" spans="1:5">
      <c r="A129">
        <f t="shared" si="5"/>
        <v>116</v>
      </c>
      <c r="B129" s="1">
        <f t="shared" si="6"/>
        <v>3166.894343756237</v>
      </c>
      <c r="C129" s="1">
        <f t="shared" si="7"/>
        <v>3050.761803859089</v>
      </c>
      <c r="D129" s="1">
        <f t="shared" si="8"/>
        <v>116.13253989714788</v>
      </c>
      <c r="E129" s="1">
        <f t="shared" si="9"/>
        <v>12433.576849093963</v>
      </c>
    </row>
    <row r="130" spans="1:5">
      <c r="A130">
        <f t="shared" si="5"/>
        <v>117</v>
      </c>
      <c r="B130" s="1">
        <f t="shared" si="6"/>
        <v>3166.894343756237</v>
      </c>
      <c r="C130" s="1">
        <f t="shared" si="7"/>
        <v>3073.6425173880325</v>
      </c>
      <c r="D130" s="1">
        <f t="shared" si="8"/>
        <v>93.251826368204718</v>
      </c>
      <c r="E130" s="1">
        <f t="shared" si="9"/>
        <v>9359.9343317059302</v>
      </c>
    </row>
    <row r="131" spans="1:5">
      <c r="A131">
        <f t="shared" si="5"/>
        <v>118</v>
      </c>
      <c r="B131" s="1">
        <f t="shared" si="6"/>
        <v>3166.894343756237</v>
      </c>
      <c r="C131" s="1">
        <f t="shared" si="7"/>
        <v>3096.6948362684425</v>
      </c>
      <c r="D131" s="1">
        <f t="shared" si="8"/>
        <v>70.199507487794477</v>
      </c>
      <c r="E131" s="1">
        <f t="shared" si="9"/>
        <v>6263.2394954374877</v>
      </c>
    </row>
    <row r="132" spans="1:5">
      <c r="A132">
        <f t="shared" si="5"/>
        <v>119</v>
      </c>
      <c r="B132" s="1">
        <f t="shared" si="6"/>
        <v>3166.894343756237</v>
      </c>
      <c r="C132" s="1">
        <f t="shared" si="7"/>
        <v>3119.9200475404559</v>
      </c>
      <c r="D132" s="1">
        <f t="shared" si="8"/>
        <v>46.974296215781159</v>
      </c>
      <c r="E132" s="1">
        <f t="shared" si="9"/>
        <v>3143.3194478970318</v>
      </c>
    </row>
    <row r="133" spans="1:5">
      <c r="A133">
        <f t="shared" si="5"/>
        <v>120</v>
      </c>
      <c r="B133" s="1">
        <f t="shared" si="6"/>
        <v>3166.894343756237</v>
      </c>
      <c r="C133" s="1">
        <f t="shared" si="7"/>
        <v>3143.3194478970095</v>
      </c>
      <c r="D133" s="1">
        <f t="shared" si="8"/>
        <v>23.574895859227738</v>
      </c>
      <c r="E133" s="1">
        <f t="shared" si="9"/>
        <v>2.2282620193436742E-11</v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topLeftCell="A2" workbookViewId="0">
      <selection activeCell="L19" sqref="L19"/>
    </sheetView>
  </sheetViews>
  <sheetFormatPr defaultRowHeight="15"/>
  <cols>
    <col min="5" max="5" width="22" customWidth="1"/>
    <col min="6" max="10" width="10.7109375" customWidth="1"/>
  </cols>
  <sheetData>
    <row r="5" spans="5:10">
      <c r="E5" s="60"/>
      <c r="F5" s="60"/>
      <c r="G5" s="60"/>
      <c r="H5" s="60"/>
      <c r="I5" s="58"/>
      <c r="J5" s="58"/>
    </row>
    <row r="6" spans="5:10">
      <c r="E6" s="92" t="s">
        <v>9</v>
      </c>
      <c r="F6" s="93">
        <v>1</v>
      </c>
      <c r="G6" s="93">
        <v>2</v>
      </c>
      <c r="H6" s="97">
        <v>3</v>
      </c>
      <c r="I6" s="121"/>
      <c r="J6" s="121"/>
    </row>
    <row r="7" spans="5:10">
      <c r="E7" s="96" t="s">
        <v>58</v>
      </c>
      <c r="F7" s="96">
        <v>0.25</v>
      </c>
      <c r="G7" s="96">
        <f>F7</f>
        <v>0.25</v>
      </c>
      <c r="H7" s="96">
        <f>G7</f>
        <v>0.25</v>
      </c>
      <c r="I7" s="123"/>
      <c r="J7" s="123"/>
    </row>
    <row r="8" spans="5:10">
      <c r="E8" s="96" t="s">
        <v>11</v>
      </c>
      <c r="F8" s="96">
        <v>0.05</v>
      </c>
      <c r="G8" s="96">
        <f t="shared" ref="G8:H9" si="0">F8</f>
        <v>0.05</v>
      </c>
      <c r="H8" s="96">
        <f t="shared" si="0"/>
        <v>0.05</v>
      </c>
      <c r="I8" s="123"/>
      <c r="J8" s="123"/>
    </row>
    <row r="9" spans="5:10">
      <c r="E9" s="96" t="s">
        <v>59</v>
      </c>
      <c r="F9" s="96">
        <v>7.6499999999999999E-2</v>
      </c>
      <c r="G9" s="96">
        <f t="shared" si="0"/>
        <v>7.6499999999999999E-2</v>
      </c>
      <c r="H9" s="96">
        <f t="shared" si="0"/>
        <v>7.6499999999999999E-2</v>
      </c>
      <c r="I9" s="123"/>
      <c r="J9" s="123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E5:K15"/>
  <sheetViews>
    <sheetView showGridLines="0" workbookViewId="0">
      <selection activeCell="O25" sqref="O25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5:11">
      <c r="F5" s="60"/>
      <c r="G5" s="60"/>
      <c r="H5" s="60"/>
      <c r="I5" s="60"/>
      <c r="J5" s="58"/>
      <c r="K5" s="58"/>
    </row>
    <row r="6" spans="5:11">
      <c r="F6" s="92" t="s">
        <v>9</v>
      </c>
      <c r="G6" s="93">
        <v>1</v>
      </c>
      <c r="H6" s="93">
        <v>2</v>
      </c>
      <c r="I6" s="97">
        <v>3</v>
      </c>
      <c r="J6" s="121"/>
      <c r="K6" s="121"/>
    </row>
    <row r="7" spans="5:11">
      <c r="F7" s="61" t="s">
        <v>85</v>
      </c>
      <c r="G7" s="89">
        <f>'Profit and Loss Statement'!E21/'Profit and Loss Statement'!E8</f>
        <v>714313.39968421042</v>
      </c>
      <c r="H7" s="89">
        <f>'Profit and Loss Statement'!F21/'Profit and Loss Statement'!F8</f>
        <v>739135.23239894735</v>
      </c>
      <c r="I7" s="89">
        <f>'Profit and Loss Statement'!G21/'Profit and Loss Statement'!G8</f>
        <v>765410.76919318945</v>
      </c>
      <c r="J7" s="122"/>
      <c r="K7" s="122"/>
    </row>
    <row r="8" spans="5:11">
      <c r="F8" s="110"/>
      <c r="G8" s="110"/>
      <c r="H8" s="110"/>
      <c r="I8" s="110"/>
    </row>
    <row r="9" spans="5:11">
      <c r="F9" s="110"/>
      <c r="G9" s="110"/>
      <c r="H9" s="110"/>
      <c r="I9" s="110"/>
    </row>
    <row r="10" spans="5:11">
      <c r="E10" s="107"/>
      <c r="F10" s="107"/>
      <c r="G10" s="107"/>
      <c r="H10" s="107"/>
      <c r="I10" s="107"/>
      <c r="J10" s="107"/>
      <c r="K10" s="107"/>
    </row>
    <row r="11" spans="5:11">
      <c r="E11" s="107"/>
      <c r="F11" s="107" t="s">
        <v>86</v>
      </c>
      <c r="G11" s="109">
        <f>G7</f>
        <v>714313.39968421042</v>
      </c>
      <c r="H11" s="109">
        <f>H7</f>
        <v>739135.23239894735</v>
      </c>
      <c r="I11" s="109">
        <f>I7</f>
        <v>765410.76919318945</v>
      </c>
      <c r="J11" s="109">
        <f>J7</f>
        <v>0</v>
      </c>
      <c r="K11" s="109">
        <f>K7</f>
        <v>0</v>
      </c>
    </row>
    <row r="12" spans="5:11">
      <c r="E12" s="107"/>
      <c r="F12" s="107"/>
      <c r="G12" s="107"/>
      <c r="H12" s="107"/>
      <c r="I12" s="107"/>
      <c r="J12" s="107"/>
      <c r="K12" s="107"/>
    </row>
    <row r="13" spans="5:11">
      <c r="E13" s="107"/>
      <c r="F13" s="107"/>
      <c r="G13" s="107"/>
      <c r="H13" s="107"/>
      <c r="I13" s="107"/>
      <c r="J13" s="107"/>
      <c r="K13" s="107"/>
    </row>
    <row r="14" spans="5:11">
      <c r="E14" s="107"/>
      <c r="F14" s="107"/>
      <c r="G14" s="107"/>
      <c r="H14" s="107"/>
      <c r="I14" s="107"/>
      <c r="J14" s="107"/>
      <c r="K14" s="107"/>
    </row>
    <row r="15" spans="5:11">
      <c r="E15" s="107"/>
      <c r="F15" s="107"/>
      <c r="G15" s="107"/>
      <c r="H15" s="107"/>
      <c r="I15" s="107"/>
      <c r="J15" s="107"/>
      <c r="K15" s="107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N25" sqref="N25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59" t="s">
        <v>87</v>
      </c>
      <c r="F5" s="60"/>
      <c r="G5" s="60"/>
      <c r="H5" s="60"/>
      <c r="I5" s="58"/>
      <c r="J5" s="58"/>
    </row>
    <row r="6" spans="5:10">
      <c r="E6" s="67" t="s">
        <v>9</v>
      </c>
      <c r="F6" s="97">
        <v>1</v>
      </c>
      <c r="G6" s="97">
        <v>2</v>
      </c>
      <c r="H6" s="97">
        <v>3</v>
      </c>
      <c r="I6" s="121"/>
      <c r="J6" s="121"/>
    </row>
    <row r="7" spans="5:10">
      <c r="E7" s="88" t="s">
        <v>51</v>
      </c>
      <c r="F7" s="58"/>
      <c r="G7" s="58"/>
      <c r="H7" s="58"/>
      <c r="I7" s="58"/>
      <c r="J7" s="58"/>
    </row>
    <row r="8" spans="5:10">
      <c r="E8" s="61" t="s">
        <v>90</v>
      </c>
      <c r="F8" s="96">
        <f>'Revenue Overview'!$F$5</f>
        <v>0</v>
      </c>
      <c r="G8" s="96">
        <f>'Revenue Overview'!G5</f>
        <v>7.0000000000000007E-2</v>
      </c>
      <c r="H8" s="96">
        <f>'Revenue Overview'!H5</f>
        <v>7.0000000000000007E-2</v>
      </c>
      <c r="I8" s="123"/>
      <c r="J8" s="123"/>
    </row>
    <row r="9" spans="5:10">
      <c r="E9" s="98" t="s">
        <v>12</v>
      </c>
      <c r="F9" s="99">
        <f>'Profit and Loss Statement'!E8</f>
        <v>0.95</v>
      </c>
      <c r="G9" s="99">
        <f>'Profit and Loss Statement'!F8</f>
        <v>0.95</v>
      </c>
      <c r="H9" s="96">
        <f>'Profit and Loss Statement'!G8</f>
        <v>0.95</v>
      </c>
      <c r="I9" s="123"/>
      <c r="J9" s="123"/>
    </row>
    <row r="10" spans="5:10">
      <c r="E10" s="58"/>
      <c r="F10" s="58"/>
      <c r="G10" s="58"/>
      <c r="H10" s="58"/>
      <c r="I10" s="58"/>
      <c r="J10" s="58"/>
    </row>
    <row r="11" spans="5:10">
      <c r="E11" s="88" t="s">
        <v>88</v>
      </c>
      <c r="F11" s="58"/>
      <c r="G11" s="58"/>
      <c r="H11" s="58"/>
      <c r="I11" s="58"/>
      <c r="J11" s="58"/>
    </row>
    <row r="12" spans="5:10">
      <c r="E12" s="61" t="s">
        <v>91</v>
      </c>
      <c r="F12" s="96">
        <f>'Profit and Loss Statement'!E28/'Profit and Loss Statement'!E6</f>
        <v>0.1354313268362117</v>
      </c>
      <c r="G12" s="96">
        <f>'Profit and Loss Statement'!F28/'Profit and Loss Statement'!F6</f>
        <v>0.15481204302699098</v>
      </c>
      <c r="H12" s="96">
        <f>'Profit and Loss Statement'!G28/'Profit and Loss Statement'!G6</f>
        <v>0.17312251455657496</v>
      </c>
      <c r="I12" s="123"/>
      <c r="J12" s="123"/>
    </row>
    <row r="13" spans="5:10">
      <c r="E13" s="61" t="s">
        <v>92</v>
      </c>
      <c r="F13" s="100">
        <f>'Balance Sheet'!E10/'Balance Sheet'!E15</f>
        <v>1.3290087707304559</v>
      </c>
      <c r="G13" s="100">
        <f>'Balance Sheet'!F10/'Balance Sheet'!F15</f>
        <v>1.514873078094368</v>
      </c>
      <c r="H13" s="100">
        <f>'Balance Sheet'!G10/'Balance Sheet'!G15</f>
        <v>1.7773756180930194</v>
      </c>
      <c r="I13" s="124"/>
      <c r="J13" s="124"/>
    </row>
    <row r="14" spans="5:10">
      <c r="E14" s="61" t="s">
        <v>93</v>
      </c>
      <c r="F14" s="100">
        <f>'Balance Sheet'!E17/'Balance Sheet'!E15</f>
        <v>0.32900877073045592</v>
      </c>
      <c r="G14" s="100">
        <f>'Balance Sheet'!F17/'Balance Sheet'!F15</f>
        <v>0.514873078094368</v>
      </c>
      <c r="H14" s="100">
        <f>'Balance Sheet'!G17/'Balance Sheet'!G15</f>
        <v>0.77737561809301925</v>
      </c>
      <c r="I14" s="124"/>
      <c r="J14" s="124"/>
    </row>
    <row r="15" spans="5:10">
      <c r="E15" s="61" t="s">
        <v>94</v>
      </c>
      <c r="F15" s="100">
        <f>'Balance Sheet'!E10/'Balance Sheet'!E17</f>
        <v>4.0394326503206237</v>
      </c>
      <c r="G15" s="100">
        <f>'Balance Sheet'!F10/'Balance Sheet'!F17</f>
        <v>2.9422262350581008</v>
      </c>
      <c r="H15" s="100">
        <f>'Balance Sheet'!G10/'Balance Sheet'!G17</f>
        <v>2.2863794242133562</v>
      </c>
      <c r="I15" s="124"/>
      <c r="J15" s="124"/>
    </row>
    <row r="16" spans="5:10">
      <c r="E16" s="58"/>
      <c r="F16" s="58"/>
      <c r="G16" s="58"/>
      <c r="H16" s="58"/>
      <c r="I16" s="58"/>
      <c r="J16" s="58"/>
    </row>
    <row r="17" spans="5:10">
      <c r="E17" s="88" t="s">
        <v>89</v>
      </c>
      <c r="F17" s="58"/>
      <c r="G17" s="58"/>
      <c r="H17" s="58"/>
      <c r="I17" s="58"/>
      <c r="J17" s="58"/>
    </row>
    <row r="18" spans="5:10">
      <c r="E18" s="61" t="s">
        <v>95</v>
      </c>
      <c r="F18" s="100">
        <f>'Balance Sheet'!E7/'Balance Sheet'!E10</f>
        <v>0.44402871429170132</v>
      </c>
      <c r="G18" s="100">
        <f>'Balance Sheet'!F7/'Balance Sheet'!F10</f>
        <v>0.4992288618572554</v>
      </c>
      <c r="H18" s="100">
        <f>'Balance Sheet'!G7/'Balance Sheet'!G10</f>
        <v>0.55292451351380112</v>
      </c>
      <c r="I18" s="124"/>
      <c r="J18" s="124"/>
    </row>
    <row r="19" spans="5:10">
      <c r="E19" s="61" t="s">
        <v>96</v>
      </c>
      <c r="F19" s="100">
        <f>'Balance Sheet'!E7/'Balance Sheet'!E15</f>
        <v>0.59011805574983878</v>
      </c>
      <c r="G19" s="100">
        <f>'Balance Sheet'!F7/'Balance Sheet'!F15</f>
        <v>0.75626836263524855</v>
      </c>
      <c r="H19" s="100">
        <f>'Balance Sheet'!G7/'Balance Sheet'!G15</f>
        <v>0.98275454896537418</v>
      </c>
      <c r="I19" s="124"/>
      <c r="J19" s="124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B5" sqref="B5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1" width="11.7109375" customWidth="1"/>
    <col min="12" max="12" width="23.5703125" customWidth="1"/>
    <col min="13" max="14" width="11.7109375" customWidth="1"/>
  </cols>
  <sheetData>
    <row r="4" spans="2:14">
      <c r="B4" s="59" t="s">
        <v>60</v>
      </c>
      <c r="C4" s="60"/>
      <c r="G4" s="60"/>
      <c r="H4" s="60"/>
      <c r="I4" s="60"/>
      <c r="J4" s="60"/>
      <c r="M4" s="25"/>
      <c r="N4" s="25"/>
    </row>
    <row r="5" spans="2:14">
      <c r="B5" s="61" t="s">
        <v>115</v>
      </c>
      <c r="C5" s="145">
        <v>50000</v>
      </c>
      <c r="G5" s="67" t="s">
        <v>9</v>
      </c>
      <c r="H5" s="97">
        <v>1</v>
      </c>
      <c r="I5" s="97">
        <v>2</v>
      </c>
      <c r="J5" s="146">
        <v>3</v>
      </c>
      <c r="M5" s="38"/>
      <c r="N5" s="38"/>
    </row>
    <row r="6" spans="2:14">
      <c r="B6" s="61" t="s">
        <v>120</v>
      </c>
      <c r="C6" s="145">
        <v>45000</v>
      </c>
      <c r="G6" s="61" t="str">
        <f>B5</f>
        <v>Senior Management</v>
      </c>
      <c r="H6" s="145">
        <f t="shared" ref="H6:H15" si="0">H18*C5</f>
        <v>50000</v>
      </c>
      <c r="I6" s="145">
        <f t="shared" ref="I6:I15" si="1">D58*I18</f>
        <v>51500</v>
      </c>
      <c r="J6" s="145">
        <f t="shared" ref="J6:J15" si="2">E58*J18</f>
        <v>53045</v>
      </c>
      <c r="M6" s="112"/>
      <c r="N6" s="112"/>
    </row>
    <row r="7" spans="2:14">
      <c r="B7" s="61" t="s">
        <v>129</v>
      </c>
      <c r="C7" s="145">
        <v>40000</v>
      </c>
      <c r="G7" s="61" t="str">
        <f>B6</f>
        <v>Operational Managers</v>
      </c>
      <c r="H7" s="145">
        <f t="shared" si="0"/>
        <v>45000</v>
      </c>
      <c r="I7" s="145">
        <f t="shared" si="1"/>
        <v>46350</v>
      </c>
      <c r="J7" s="145">
        <f t="shared" si="2"/>
        <v>47740.5</v>
      </c>
      <c r="M7" s="112"/>
      <c r="N7" s="112"/>
    </row>
    <row r="8" spans="2:14">
      <c r="B8" s="61" t="s">
        <v>127</v>
      </c>
      <c r="C8" s="145">
        <v>37500</v>
      </c>
      <c r="G8" s="61" t="str">
        <f>B7</f>
        <v>Teachers</v>
      </c>
      <c r="H8" s="145">
        <f t="shared" si="0"/>
        <v>320000</v>
      </c>
      <c r="I8" s="145">
        <f t="shared" si="1"/>
        <v>329600</v>
      </c>
      <c r="J8" s="145">
        <f t="shared" si="2"/>
        <v>339488</v>
      </c>
      <c r="M8" s="112"/>
      <c r="N8" s="112"/>
    </row>
    <row r="9" spans="2:14">
      <c r="B9" s="61" t="s">
        <v>126</v>
      </c>
      <c r="C9" s="145">
        <v>45000</v>
      </c>
      <c r="G9" s="61" t="str">
        <f>B8</f>
        <v>Support Staff</v>
      </c>
      <c r="H9" s="145">
        <f t="shared" si="0"/>
        <v>75000</v>
      </c>
      <c r="I9" s="145">
        <f t="shared" si="1"/>
        <v>77250</v>
      </c>
      <c r="J9" s="145">
        <f t="shared" si="2"/>
        <v>79567.5</v>
      </c>
      <c r="M9" s="112"/>
      <c r="N9" s="112"/>
    </row>
    <row r="10" spans="2:14">
      <c r="B10" s="61" t="s">
        <v>122</v>
      </c>
      <c r="C10" s="145">
        <v>0</v>
      </c>
      <c r="G10" s="61" t="str">
        <f>B9</f>
        <v>Administrative Staff</v>
      </c>
      <c r="H10" s="145">
        <f t="shared" si="0"/>
        <v>45000</v>
      </c>
      <c r="I10" s="145">
        <f t="shared" si="1"/>
        <v>46350</v>
      </c>
      <c r="J10" s="145">
        <f t="shared" si="2"/>
        <v>47740.5</v>
      </c>
      <c r="M10" s="112"/>
      <c r="N10" s="112"/>
    </row>
    <row r="11" spans="2:14">
      <c r="B11" s="61" t="s">
        <v>133</v>
      </c>
      <c r="C11" s="145">
        <v>0</v>
      </c>
      <c r="G11" s="61" t="str">
        <f>B29</f>
        <v>Position 6</v>
      </c>
      <c r="H11" s="145">
        <f t="shared" si="0"/>
        <v>0</v>
      </c>
      <c r="I11" s="145">
        <f t="shared" si="1"/>
        <v>0</v>
      </c>
      <c r="J11" s="145">
        <f t="shared" si="2"/>
        <v>0</v>
      </c>
      <c r="M11" s="112"/>
      <c r="N11" s="112"/>
    </row>
    <row r="12" spans="2:14">
      <c r="B12" s="61" t="s">
        <v>134</v>
      </c>
      <c r="C12" s="145">
        <v>0</v>
      </c>
      <c r="G12" s="61" t="str">
        <f>B30</f>
        <v>Postion 7</v>
      </c>
      <c r="H12" s="145">
        <f t="shared" si="0"/>
        <v>0</v>
      </c>
      <c r="I12" s="145">
        <f t="shared" si="1"/>
        <v>0</v>
      </c>
      <c r="J12" s="145">
        <f t="shared" si="2"/>
        <v>0</v>
      </c>
      <c r="M12" s="112"/>
      <c r="N12" s="112"/>
    </row>
    <row r="13" spans="2:14">
      <c r="B13" s="61" t="s">
        <v>135</v>
      </c>
      <c r="C13" s="145"/>
      <c r="G13" s="61" t="str">
        <f>B31</f>
        <v>Postion 8</v>
      </c>
      <c r="H13" s="145">
        <f t="shared" si="0"/>
        <v>0</v>
      </c>
      <c r="I13" s="145">
        <f t="shared" si="1"/>
        <v>0</v>
      </c>
      <c r="J13" s="145">
        <f t="shared" si="2"/>
        <v>0</v>
      </c>
      <c r="M13" s="112"/>
      <c r="N13" s="112"/>
    </row>
    <row r="14" spans="2:14">
      <c r="B14" s="61" t="s">
        <v>123</v>
      </c>
      <c r="C14" s="145"/>
      <c r="G14" s="61" t="str">
        <f>B32</f>
        <v>Postion 9</v>
      </c>
      <c r="H14" s="145">
        <f t="shared" si="0"/>
        <v>0</v>
      </c>
      <c r="I14" s="145">
        <f t="shared" si="1"/>
        <v>0</v>
      </c>
      <c r="J14" s="145">
        <f t="shared" si="2"/>
        <v>0</v>
      </c>
      <c r="M14" s="112"/>
      <c r="N14" s="112"/>
    </row>
    <row r="15" spans="2:14">
      <c r="G15" s="61" t="str">
        <f>B33</f>
        <v>Position 10</v>
      </c>
      <c r="H15" s="145">
        <f t="shared" si="0"/>
        <v>0</v>
      </c>
      <c r="I15" s="145">
        <f t="shared" si="1"/>
        <v>0</v>
      </c>
      <c r="J15" s="145">
        <f t="shared" si="2"/>
        <v>0</v>
      </c>
      <c r="M15" s="112"/>
      <c r="N15" s="112"/>
    </row>
    <row r="16" spans="2:14">
      <c r="G16" s="147" t="s">
        <v>8</v>
      </c>
      <c r="H16" s="95">
        <f>SUM(H6:H15)</f>
        <v>535000</v>
      </c>
      <c r="I16" s="95">
        <f t="shared" ref="I16:J16" si="3">SUM(I6:I15)</f>
        <v>551050</v>
      </c>
      <c r="J16" s="95">
        <f t="shared" si="3"/>
        <v>567581.5</v>
      </c>
      <c r="M16" s="113"/>
      <c r="N16" s="113"/>
    </row>
    <row r="17" spans="2:20">
      <c r="G17" s="58"/>
      <c r="H17" s="58"/>
      <c r="I17" s="58"/>
      <c r="J17" s="58"/>
      <c r="M17" s="25"/>
      <c r="N17" s="25"/>
    </row>
    <row r="18" spans="2:20">
      <c r="G18" s="61" t="str">
        <f>G6</f>
        <v>Senior Management</v>
      </c>
      <c r="H18" s="61">
        <f t="shared" ref="H18:H27" si="4">C24</f>
        <v>1</v>
      </c>
      <c r="I18" s="61">
        <f t="shared" ref="I18:I27" si="5">D24</f>
        <v>1</v>
      </c>
      <c r="J18" s="61">
        <f t="shared" ref="J18:J27" si="6">E24</f>
        <v>1</v>
      </c>
      <c r="M18" s="25"/>
      <c r="N18" s="25"/>
    </row>
    <row r="19" spans="2:20">
      <c r="G19" s="61" t="str">
        <f>G7</f>
        <v>Operational Managers</v>
      </c>
      <c r="H19" s="61">
        <f t="shared" si="4"/>
        <v>1</v>
      </c>
      <c r="I19" s="61">
        <f t="shared" si="5"/>
        <v>1</v>
      </c>
      <c r="J19" s="61">
        <f t="shared" si="6"/>
        <v>1</v>
      </c>
      <c r="M19" s="25"/>
      <c r="N19" s="25"/>
    </row>
    <row r="20" spans="2:20">
      <c r="G20" s="61" t="str">
        <f>G8</f>
        <v>Teachers</v>
      </c>
      <c r="H20" s="61">
        <f t="shared" si="4"/>
        <v>8</v>
      </c>
      <c r="I20" s="61">
        <f t="shared" si="5"/>
        <v>8</v>
      </c>
      <c r="J20" s="61">
        <f t="shared" si="6"/>
        <v>8</v>
      </c>
      <c r="M20" s="25"/>
      <c r="N20" s="25"/>
    </row>
    <row r="21" spans="2:20">
      <c r="G21" s="61" t="str">
        <f>G9</f>
        <v>Support Staff</v>
      </c>
      <c r="H21" s="61">
        <f t="shared" si="4"/>
        <v>2</v>
      </c>
      <c r="I21" s="61">
        <f t="shared" si="5"/>
        <v>2</v>
      </c>
      <c r="J21" s="61">
        <f t="shared" si="6"/>
        <v>2</v>
      </c>
      <c r="M21" s="25"/>
      <c r="N21" s="25"/>
      <c r="O21" s="110"/>
      <c r="P21" s="110"/>
      <c r="Q21" s="110"/>
      <c r="R21" s="110"/>
      <c r="S21" s="110"/>
      <c r="T21" s="110"/>
    </row>
    <row r="22" spans="2:20">
      <c r="B22" s="59" t="s">
        <v>61</v>
      </c>
      <c r="C22" s="60"/>
      <c r="D22" s="60"/>
      <c r="E22" s="60"/>
      <c r="G22" s="61" t="str">
        <f t="shared" ref="G22:G27" si="7">G10</f>
        <v>Administrative Staff</v>
      </c>
      <c r="H22" s="61">
        <f t="shared" si="4"/>
        <v>1</v>
      </c>
      <c r="I22" s="61">
        <f t="shared" si="5"/>
        <v>1</v>
      </c>
      <c r="J22" s="61">
        <f t="shared" si="6"/>
        <v>1</v>
      </c>
      <c r="M22" s="25"/>
      <c r="N22" s="25"/>
      <c r="O22" s="110"/>
      <c r="P22" s="110"/>
      <c r="Q22" s="110"/>
      <c r="R22" s="110"/>
      <c r="S22" s="110"/>
      <c r="T22" s="110"/>
    </row>
    <row r="23" spans="2:20">
      <c r="B23" s="97" t="s">
        <v>62</v>
      </c>
      <c r="C23" s="97">
        <v>1</v>
      </c>
      <c r="D23" s="97">
        <v>2</v>
      </c>
      <c r="E23" s="97">
        <v>3</v>
      </c>
      <c r="G23" s="61" t="str">
        <f t="shared" si="7"/>
        <v>Position 6</v>
      </c>
      <c r="H23" s="61">
        <f t="shared" si="4"/>
        <v>0</v>
      </c>
      <c r="I23" s="61">
        <f t="shared" si="5"/>
        <v>0</v>
      </c>
      <c r="J23" s="61">
        <f t="shared" si="6"/>
        <v>0</v>
      </c>
      <c r="M23" s="25"/>
      <c r="N23" s="25"/>
      <c r="O23" s="110"/>
      <c r="P23" s="110"/>
      <c r="Q23" s="110"/>
      <c r="R23" s="110"/>
      <c r="S23" s="110"/>
      <c r="T23" s="110"/>
    </row>
    <row r="24" spans="2:20">
      <c r="B24" s="98" t="str">
        <f>B5</f>
        <v>Senior Management</v>
      </c>
      <c r="C24" s="62">
        <v>1</v>
      </c>
      <c r="D24" s="62">
        <v>1</v>
      </c>
      <c r="E24" s="62">
        <v>1</v>
      </c>
      <c r="F24" s="132"/>
      <c r="G24" s="61" t="str">
        <f t="shared" si="7"/>
        <v>Postion 7</v>
      </c>
      <c r="H24" s="61">
        <f t="shared" si="4"/>
        <v>0</v>
      </c>
      <c r="I24" s="61">
        <f t="shared" si="5"/>
        <v>0</v>
      </c>
      <c r="J24" s="61">
        <f t="shared" si="6"/>
        <v>0</v>
      </c>
      <c r="M24" s="25"/>
      <c r="N24" s="25"/>
      <c r="O24" s="110"/>
      <c r="P24" s="110"/>
      <c r="Q24" s="110"/>
      <c r="R24" s="110"/>
      <c r="S24" s="110"/>
      <c r="T24" s="110"/>
    </row>
    <row r="25" spans="2:20">
      <c r="B25" s="98" t="str">
        <f t="shared" ref="B25:B33" si="8">B6</f>
        <v>Operational Managers</v>
      </c>
      <c r="C25" s="62">
        <v>1</v>
      </c>
      <c r="D25" s="62">
        <v>1</v>
      </c>
      <c r="E25" s="62">
        <v>1</v>
      </c>
      <c r="G25" s="61" t="str">
        <f t="shared" si="7"/>
        <v>Postion 8</v>
      </c>
      <c r="H25" s="61">
        <f t="shared" si="4"/>
        <v>0</v>
      </c>
      <c r="I25" s="61">
        <f t="shared" si="5"/>
        <v>0</v>
      </c>
      <c r="J25" s="61">
        <f t="shared" si="6"/>
        <v>0</v>
      </c>
      <c r="M25" s="25"/>
      <c r="N25" s="25"/>
      <c r="O25" s="110"/>
      <c r="P25" s="110"/>
      <c r="Q25" s="110"/>
      <c r="R25" s="110"/>
      <c r="S25" s="110"/>
      <c r="T25" s="110"/>
    </row>
    <row r="26" spans="2:20">
      <c r="B26" s="98" t="str">
        <f t="shared" si="8"/>
        <v>Teachers</v>
      </c>
      <c r="C26" s="62">
        <v>8</v>
      </c>
      <c r="D26" s="62">
        <v>8</v>
      </c>
      <c r="E26" s="62">
        <v>8</v>
      </c>
      <c r="F26" s="132"/>
      <c r="G26" s="61" t="str">
        <f t="shared" si="7"/>
        <v>Postion 9</v>
      </c>
      <c r="H26" s="61">
        <f t="shared" si="4"/>
        <v>0</v>
      </c>
      <c r="I26" s="61">
        <f t="shared" si="5"/>
        <v>0</v>
      </c>
      <c r="J26" s="61">
        <f t="shared" si="6"/>
        <v>0</v>
      </c>
      <c r="M26" s="25"/>
      <c r="N26" s="25"/>
      <c r="O26" s="110"/>
      <c r="P26" s="110"/>
      <c r="Q26" s="110"/>
      <c r="R26" s="110"/>
      <c r="S26" s="110"/>
      <c r="T26" s="110"/>
    </row>
    <row r="27" spans="2:20">
      <c r="B27" s="98" t="str">
        <f t="shared" si="8"/>
        <v>Support Staff</v>
      </c>
      <c r="C27" s="62">
        <v>2</v>
      </c>
      <c r="D27" s="62">
        <v>2</v>
      </c>
      <c r="E27" s="62">
        <v>2</v>
      </c>
      <c r="F27" s="132"/>
      <c r="G27" s="61" t="str">
        <f t="shared" si="7"/>
        <v>Position 10</v>
      </c>
      <c r="H27" s="61">
        <f t="shared" si="4"/>
        <v>0</v>
      </c>
      <c r="I27" s="61">
        <f t="shared" si="5"/>
        <v>0</v>
      </c>
      <c r="J27" s="61">
        <f t="shared" si="6"/>
        <v>0</v>
      </c>
      <c r="M27" s="25"/>
      <c r="N27" s="25"/>
      <c r="O27" s="110"/>
      <c r="P27" s="110"/>
      <c r="Q27" s="110"/>
      <c r="R27" s="110"/>
      <c r="S27" s="110"/>
      <c r="T27" s="110"/>
    </row>
    <row r="28" spans="2:20">
      <c r="B28" s="98" t="str">
        <f t="shared" si="8"/>
        <v>Administrative Staff</v>
      </c>
      <c r="C28" s="62">
        <v>1</v>
      </c>
      <c r="D28" s="62">
        <v>1</v>
      </c>
      <c r="E28" s="62">
        <v>1</v>
      </c>
      <c r="F28" s="132"/>
      <c r="G28" s="147" t="s">
        <v>8</v>
      </c>
      <c r="H28" s="147">
        <f>SUM(H18:H27)</f>
        <v>13</v>
      </c>
      <c r="I28" s="147">
        <f t="shared" ref="I28:J28" si="9">SUM(I18:I27)</f>
        <v>13</v>
      </c>
      <c r="J28" s="147">
        <f t="shared" si="9"/>
        <v>13</v>
      </c>
      <c r="M28" s="25"/>
      <c r="N28" s="25"/>
      <c r="O28" s="110"/>
      <c r="P28" s="110"/>
      <c r="Q28" s="110"/>
      <c r="R28" s="110"/>
      <c r="S28" s="110"/>
      <c r="T28" s="110"/>
    </row>
    <row r="29" spans="2:20">
      <c r="B29" s="98" t="str">
        <f t="shared" si="8"/>
        <v>Position 6</v>
      </c>
      <c r="C29" s="62"/>
      <c r="D29" s="62"/>
      <c r="E29" s="62"/>
      <c r="L29" s="110"/>
      <c r="M29" s="110"/>
      <c r="N29" s="110"/>
      <c r="O29" s="110"/>
      <c r="P29" s="110"/>
      <c r="Q29" s="110"/>
      <c r="R29" s="110"/>
      <c r="S29" s="110"/>
      <c r="T29" s="110"/>
    </row>
    <row r="30" spans="2:20">
      <c r="B30" s="98" t="str">
        <f t="shared" si="8"/>
        <v>Postion 7</v>
      </c>
      <c r="C30" s="62"/>
      <c r="D30" s="62"/>
      <c r="E30" s="62"/>
      <c r="L30" s="107"/>
      <c r="M30" s="107"/>
      <c r="N30" s="110"/>
      <c r="O30" s="110"/>
      <c r="P30" s="110"/>
      <c r="Q30" s="110"/>
      <c r="R30" s="110"/>
      <c r="S30" s="110"/>
      <c r="T30" s="110"/>
    </row>
    <row r="31" spans="2:20">
      <c r="B31" s="98" t="str">
        <f t="shared" si="8"/>
        <v>Postion 8</v>
      </c>
      <c r="C31" s="62"/>
      <c r="D31" s="62"/>
      <c r="E31" s="62"/>
      <c r="L31" s="107" t="str">
        <f>G6</f>
        <v>Senior Management</v>
      </c>
      <c r="M31" s="108">
        <f>J6/$J$16</f>
        <v>9.3457943925233641E-2</v>
      </c>
      <c r="N31" s="110"/>
      <c r="O31" s="110"/>
      <c r="P31" s="110"/>
      <c r="Q31" s="110"/>
      <c r="R31" s="110"/>
      <c r="S31" s="110"/>
      <c r="T31" s="110"/>
    </row>
    <row r="32" spans="2:20">
      <c r="B32" s="98" t="str">
        <f t="shared" si="8"/>
        <v>Postion 9</v>
      </c>
      <c r="C32" s="62"/>
      <c r="D32" s="62"/>
      <c r="E32" s="62"/>
      <c r="F32" s="25"/>
      <c r="G32" s="25"/>
      <c r="L32" s="107" t="str">
        <f>G7</f>
        <v>Operational Managers</v>
      </c>
      <c r="M32" s="108">
        <f>J7/$J$16</f>
        <v>8.4112149532710276E-2</v>
      </c>
      <c r="N32" s="110"/>
      <c r="O32" s="110"/>
      <c r="P32" s="110"/>
      <c r="Q32" s="110"/>
      <c r="T32" s="110"/>
    </row>
    <row r="33" spans="2:20">
      <c r="B33" s="98" t="str">
        <f t="shared" si="8"/>
        <v>Position 10</v>
      </c>
      <c r="C33" s="62"/>
      <c r="D33" s="62"/>
      <c r="E33" s="62"/>
      <c r="F33" s="25"/>
      <c r="G33" s="25"/>
      <c r="L33" s="107" t="str">
        <f>G8</f>
        <v>Teachers</v>
      </c>
      <c r="M33" s="108">
        <f>J8/$J$16</f>
        <v>0.59813084112149528</v>
      </c>
      <c r="N33" s="110"/>
      <c r="O33" s="110"/>
      <c r="P33" s="110"/>
      <c r="Q33" s="110"/>
      <c r="T33" s="110"/>
    </row>
    <row r="34" spans="2:20">
      <c r="F34" s="38"/>
      <c r="G34" s="38"/>
      <c r="L34" s="107" t="str">
        <f>G9</f>
        <v>Support Staff</v>
      </c>
      <c r="M34" s="108">
        <f>J9/$J$16</f>
        <v>0.14018691588785046</v>
      </c>
      <c r="N34" s="110"/>
      <c r="O34" s="110"/>
      <c r="P34" s="110"/>
      <c r="Q34" s="110"/>
      <c r="T34" s="110"/>
    </row>
    <row r="35" spans="2:20">
      <c r="F35" s="38"/>
      <c r="G35" s="38"/>
      <c r="L35" s="107" t="str">
        <f>G10</f>
        <v>Administrative Staff</v>
      </c>
      <c r="M35" s="108">
        <f>J10/$J$16</f>
        <v>8.4112149532710276E-2</v>
      </c>
      <c r="N35" s="110"/>
      <c r="O35" s="110"/>
      <c r="P35" s="110"/>
      <c r="Q35" s="110"/>
      <c r="T35" s="110"/>
    </row>
    <row r="36" spans="2:20">
      <c r="F36" s="38"/>
      <c r="G36" s="38"/>
      <c r="L36" s="107" t="str">
        <f t="shared" ref="L36:L40" si="10">G11</f>
        <v>Position 6</v>
      </c>
      <c r="M36" s="108">
        <f t="shared" ref="M36:M40" si="11">J11/$J$16</f>
        <v>0</v>
      </c>
      <c r="N36" s="110"/>
      <c r="O36" s="110"/>
      <c r="P36" s="110"/>
      <c r="Q36" s="110"/>
      <c r="T36" s="110"/>
    </row>
    <row r="37" spans="2:20">
      <c r="F37" s="38"/>
      <c r="G37" s="38"/>
      <c r="L37" s="107" t="str">
        <f t="shared" si="10"/>
        <v>Postion 7</v>
      </c>
      <c r="M37" s="108">
        <f t="shared" si="11"/>
        <v>0</v>
      </c>
      <c r="N37" s="110"/>
      <c r="O37" s="110"/>
      <c r="P37" s="110"/>
      <c r="Q37" s="110"/>
      <c r="R37" s="110"/>
      <c r="S37" s="111"/>
      <c r="T37" s="110"/>
    </row>
    <row r="38" spans="2:20">
      <c r="F38" s="38"/>
      <c r="G38" s="38"/>
      <c r="L38" s="107" t="str">
        <f t="shared" si="10"/>
        <v>Postion 8</v>
      </c>
      <c r="M38" s="108">
        <f t="shared" si="11"/>
        <v>0</v>
      </c>
      <c r="N38" s="110"/>
      <c r="O38" s="110"/>
      <c r="Q38" s="107"/>
      <c r="R38" s="107"/>
      <c r="S38" s="108"/>
    </row>
    <row r="39" spans="2:20">
      <c r="F39" s="38"/>
      <c r="G39" s="38"/>
      <c r="L39" s="107" t="str">
        <f t="shared" si="10"/>
        <v>Postion 9</v>
      </c>
      <c r="M39" s="108">
        <f t="shared" si="11"/>
        <v>0</v>
      </c>
      <c r="N39" s="110"/>
      <c r="O39" s="110"/>
      <c r="S39" s="106"/>
    </row>
    <row r="40" spans="2:20">
      <c r="F40" s="38"/>
      <c r="G40" s="38"/>
      <c r="L40" s="107" t="str">
        <f t="shared" si="10"/>
        <v>Position 10</v>
      </c>
      <c r="M40" s="108">
        <f t="shared" si="11"/>
        <v>0</v>
      </c>
    </row>
    <row r="41" spans="2:20">
      <c r="F41" s="38"/>
      <c r="G41" s="38"/>
      <c r="L41" s="107" t="str">
        <f t="shared" ref="L41" si="12">G16</f>
        <v>Total</v>
      </c>
      <c r="M41" s="108">
        <f t="shared" ref="M41" si="13">J16/$J$16</f>
        <v>1</v>
      </c>
    </row>
    <row r="42" spans="2:20">
      <c r="F42" s="38"/>
      <c r="G42" s="38"/>
      <c r="L42" s="107"/>
      <c r="M42" s="107"/>
    </row>
    <row r="43" spans="2:20">
      <c r="F43" s="38"/>
      <c r="G43" s="38"/>
    </row>
    <row r="44" spans="2:20">
      <c r="F44" s="38"/>
      <c r="G44" s="38"/>
    </row>
    <row r="45" spans="2:20">
      <c r="F45" s="25"/>
      <c r="G45" s="25"/>
    </row>
    <row r="52" spans="2:7">
      <c r="B52" s="6" t="s">
        <v>63</v>
      </c>
      <c r="C52" s="3"/>
    </row>
    <row r="53" spans="2:7">
      <c r="B53" s="4" t="s">
        <v>64</v>
      </c>
      <c r="C53" s="12">
        <v>0.03</v>
      </c>
    </row>
    <row r="57" spans="2:7">
      <c r="B57" s="6" t="s">
        <v>60</v>
      </c>
      <c r="C57" s="3"/>
    </row>
    <row r="58" spans="2:7">
      <c r="B58" s="4" t="str">
        <f>B5</f>
        <v>Senior Management</v>
      </c>
      <c r="C58" s="11">
        <f>C5</f>
        <v>50000</v>
      </c>
      <c r="D58" s="11">
        <f>C58*(1+$C$53)</f>
        <v>51500</v>
      </c>
      <c r="E58" s="11">
        <f>D58*(1+$C$53)</f>
        <v>53045</v>
      </c>
      <c r="F58" s="11">
        <f>E58*(1+$C$53)</f>
        <v>54636.35</v>
      </c>
      <c r="G58" s="11">
        <f>F58*(1+$C$53)</f>
        <v>56275.440499999997</v>
      </c>
    </row>
    <row r="59" spans="2:7">
      <c r="B59" s="4" t="str">
        <f t="shared" ref="B59:C67" si="14">B6</f>
        <v>Operational Managers</v>
      </c>
      <c r="C59" s="11">
        <f t="shared" si="14"/>
        <v>45000</v>
      </c>
      <c r="D59" s="11">
        <f t="shared" ref="D59:G59" si="15">C59*(1+$C$53)</f>
        <v>46350</v>
      </c>
      <c r="E59" s="11">
        <f t="shared" si="15"/>
        <v>47740.5</v>
      </c>
      <c r="F59" s="11">
        <f t="shared" si="15"/>
        <v>49172.715000000004</v>
      </c>
      <c r="G59" s="11">
        <f t="shared" si="15"/>
        <v>50647.896450000007</v>
      </c>
    </row>
    <row r="60" spans="2:7">
      <c r="B60" s="4" t="str">
        <f t="shared" si="14"/>
        <v>Teachers</v>
      </c>
      <c r="C60" s="11">
        <f t="shared" si="14"/>
        <v>40000</v>
      </c>
      <c r="D60" s="11">
        <f t="shared" ref="D60:G60" si="16">C60*(1+$C$53)</f>
        <v>41200</v>
      </c>
      <c r="E60" s="11">
        <f t="shared" si="16"/>
        <v>42436</v>
      </c>
      <c r="F60" s="11">
        <f t="shared" si="16"/>
        <v>43709.08</v>
      </c>
      <c r="G60" s="11">
        <f t="shared" si="16"/>
        <v>45020.352400000003</v>
      </c>
    </row>
    <row r="61" spans="2:7">
      <c r="B61" s="4" t="str">
        <f t="shared" si="14"/>
        <v>Support Staff</v>
      </c>
      <c r="C61" s="11">
        <f t="shared" si="14"/>
        <v>37500</v>
      </c>
      <c r="D61" s="11">
        <f t="shared" ref="D61:G61" si="17">C61*(1+$C$53)</f>
        <v>38625</v>
      </c>
      <c r="E61" s="11">
        <f t="shared" si="17"/>
        <v>39783.75</v>
      </c>
      <c r="F61" s="11">
        <f t="shared" si="17"/>
        <v>40977.262500000004</v>
      </c>
      <c r="G61" s="11">
        <f t="shared" si="17"/>
        <v>42206.580375000005</v>
      </c>
    </row>
    <row r="62" spans="2:7">
      <c r="B62" s="4" t="str">
        <f t="shared" si="14"/>
        <v>Administrative Staff</v>
      </c>
      <c r="C62" s="11">
        <f t="shared" si="14"/>
        <v>45000</v>
      </c>
      <c r="D62" s="11">
        <f t="shared" ref="D62:G62" si="18">C62*(1+$C$53)</f>
        <v>46350</v>
      </c>
      <c r="E62" s="11">
        <f t="shared" si="18"/>
        <v>47740.5</v>
      </c>
      <c r="F62" s="11">
        <f t="shared" si="18"/>
        <v>49172.715000000004</v>
      </c>
      <c r="G62" s="11">
        <f t="shared" si="18"/>
        <v>50647.896450000007</v>
      </c>
    </row>
    <row r="63" spans="2:7">
      <c r="B63" s="4" t="str">
        <f t="shared" si="14"/>
        <v>Position 6</v>
      </c>
      <c r="C63" s="11">
        <f t="shared" si="14"/>
        <v>0</v>
      </c>
      <c r="D63" s="11">
        <f t="shared" ref="D63:G63" si="19">C63*(1+$C$53)</f>
        <v>0</v>
      </c>
      <c r="E63" s="11">
        <f t="shared" si="19"/>
        <v>0</v>
      </c>
      <c r="F63" s="11">
        <f t="shared" si="19"/>
        <v>0</v>
      </c>
      <c r="G63" s="11">
        <f t="shared" si="19"/>
        <v>0</v>
      </c>
    </row>
    <row r="64" spans="2:7">
      <c r="B64" s="4" t="str">
        <f t="shared" si="14"/>
        <v>Postion 7</v>
      </c>
      <c r="C64" s="11">
        <f t="shared" si="14"/>
        <v>0</v>
      </c>
      <c r="D64" s="11">
        <f t="shared" ref="D64:G64" si="20">C64*(1+$C$53)</f>
        <v>0</v>
      </c>
      <c r="E64" s="11">
        <f t="shared" si="20"/>
        <v>0</v>
      </c>
      <c r="F64" s="11">
        <f t="shared" si="20"/>
        <v>0</v>
      </c>
      <c r="G64" s="11">
        <f t="shared" si="20"/>
        <v>0</v>
      </c>
    </row>
    <row r="65" spans="2:7">
      <c r="B65" s="4" t="str">
        <f t="shared" si="14"/>
        <v>Postion 8</v>
      </c>
      <c r="C65" s="11">
        <f t="shared" si="14"/>
        <v>0</v>
      </c>
      <c r="D65" s="11">
        <f t="shared" ref="D65:G65" si="21">C65*(1+$C$53)</f>
        <v>0</v>
      </c>
      <c r="E65" s="11">
        <f t="shared" si="21"/>
        <v>0</v>
      </c>
      <c r="F65" s="11">
        <f t="shared" si="21"/>
        <v>0</v>
      </c>
      <c r="G65" s="11">
        <f t="shared" si="21"/>
        <v>0</v>
      </c>
    </row>
    <row r="66" spans="2:7">
      <c r="B66" s="4" t="str">
        <f t="shared" si="14"/>
        <v>Postion 9</v>
      </c>
      <c r="C66" s="11">
        <f t="shared" si="14"/>
        <v>0</v>
      </c>
      <c r="D66" s="11">
        <f t="shared" ref="D66:G66" si="22">C66*(1+$C$53)</f>
        <v>0</v>
      </c>
      <c r="E66" s="11">
        <f t="shared" si="22"/>
        <v>0</v>
      </c>
      <c r="F66" s="11">
        <f t="shared" si="22"/>
        <v>0</v>
      </c>
      <c r="G66" s="11">
        <f t="shared" si="22"/>
        <v>0</v>
      </c>
    </row>
    <row r="67" spans="2:7">
      <c r="B67" s="4" t="str">
        <f t="shared" si="14"/>
        <v>Position 10</v>
      </c>
      <c r="C67" s="11">
        <f t="shared" si="14"/>
        <v>0</v>
      </c>
      <c r="D67" s="11">
        <f t="shared" ref="D67:G67" si="23">C67*(1+$C$53)</f>
        <v>0</v>
      </c>
      <c r="E67" s="11">
        <f t="shared" si="23"/>
        <v>0</v>
      </c>
      <c r="F67" s="11">
        <f t="shared" si="23"/>
        <v>0</v>
      </c>
      <c r="G67" s="11">
        <f t="shared" si="23"/>
        <v>0</v>
      </c>
    </row>
    <row r="68" spans="2:7">
      <c r="B68" s="4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D21" sqref="D21"/>
    </sheetView>
  </sheetViews>
  <sheetFormatPr defaultRowHeight="15"/>
  <cols>
    <col min="4" max="4" width="34" customWidth="1"/>
    <col min="5" max="5" width="23" customWidth="1"/>
  </cols>
  <sheetData>
    <row r="5" spans="4:5">
      <c r="D5" s="6" t="s">
        <v>69</v>
      </c>
      <c r="E5" s="3"/>
    </row>
    <row r="6" spans="4:5">
      <c r="D6" s="16" t="s">
        <v>130</v>
      </c>
      <c r="E6" s="5">
        <v>190000</v>
      </c>
    </row>
    <row r="7" spans="4:5">
      <c r="D7" s="16" t="s">
        <v>117</v>
      </c>
      <c r="E7" s="5">
        <v>25000</v>
      </c>
    </row>
    <row r="8" spans="4:5">
      <c r="D8" s="16" t="s">
        <v>116</v>
      </c>
      <c r="E8" s="5">
        <v>35000</v>
      </c>
    </row>
    <row r="9" spans="4:5">
      <c r="D9" s="16" t="s">
        <v>0</v>
      </c>
      <c r="E9" s="5">
        <v>50000</v>
      </c>
    </row>
    <row r="10" spans="4:5">
      <c r="D10" s="16"/>
      <c r="E10" s="5"/>
    </row>
    <row r="11" spans="4:5">
      <c r="D11" s="16"/>
      <c r="E11" s="5"/>
    </row>
    <row r="12" spans="4:5">
      <c r="D12" s="16"/>
      <c r="E12" s="5"/>
    </row>
    <row r="13" spans="4:5">
      <c r="D13" s="16"/>
      <c r="E13" s="5"/>
    </row>
    <row r="14" spans="4:5">
      <c r="D14" s="16"/>
      <c r="E14" s="5"/>
    </row>
    <row r="15" spans="4:5">
      <c r="D15" s="16"/>
      <c r="E15" s="5"/>
    </row>
    <row r="16" spans="4:5">
      <c r="D16" s="17" t="s">
        <v>8</v>
      </c>
      <c r="E16" s="13">
        <f>SUM(E6:E15)</f>
        <v>300000</v>
      </c>
    </row>
    <row r="20" spans="4:5">
      <c r="D20" s="6" t="s">
        <v>97</v>
      </c>
      <c r="E20" s="3"/>
    </row>
    <row r="21" spans="4:5">
      <c r="D21" s="4" t="s">
        <v>98</v>
      </c>
      <c r="E21" s="11">
        <v>50000</v>
      </c>
    </row>
    <row r="22" spans="4:5">
      <c r="D22" s="4" t="s">
        <v>99</v>
      </c>
      <c r="E22" s="11">
        <v>250000</v>
      </c>
    </row>
    <row r="23" spans="4:5">
      <c r="D23" s="4" t="s">
        <v>100</v>
      </c>
      <c r="E23" s="11">
        <f>SUM(E21:E22)</f>
        <v>300000</v>
      </c>
    </row>
    <row r="27" spans="4:5">
      <c r="D27" s="107"/>
    </row>
    <row r="28" spans="4:5">
      <c r="D28" s="115"/>
      <c r="E28" s="1"/>
    </row>
    <row r="29" spans="4:5">
      <c r="D29" s="115"/>
      <c r="E29" s="1"/>
    </row>
    <row r="30" spans="4:5">
      <c r="D30" s="115"/>
      <c r="E30" s="1"/>
    </row>
    <row r="31" spans="4:5">
      <c r="D31" s="115"/>
      <c r="E31" s="1"/>
    </row>
    <row r="32" spans="4:5">
      <c r="D32" s="115"/>
      <c r="E32" s="1"/>
    </row>
    <row r="33" spans="4:5">
      <c r="D33" s="115"/>
      <c r="E33" s="1"/>
    </row>
    <row r="34" spans="4:5">
      <c r="D34" s="115"/>
      <c r="E34" s="1"/>
    </row>
    <row r="35" spans="4:5">
      <c r="D35" s="115"/>
      <c r="E35" s="1"/>
    </row>
    <row r="36" spans="4:5">
      <c r="D36" s="115"/>
      <c r="E36" s="1"/>
    </row>
    <row r="37" spans="4:5">
      <c r="D37" s="115"/>
      <c r="E37" s="1"/>
    </row>
    <row r="38" spans="4:5">
      <c r="D38" s="116"/>
      <c r="E38" s="117"/>
    </row>
    <row r="40" spans="4:5">
      <c r="D40" s="107"/>
    </row>
    <row r="41" spans="4:5">
      <c r="D41" s="115"/>
      <c r="E41" s="1"/>
    </row>
    <row r="42" spans="4:5">
      <c r="D42" s="115"/>
      <c r="E42" s="1"/>
    </row>
    <row r="43" spans="4:5">
      <c r="D43" s="115"/>
      <c r="E43" s="1"/>
    </row>
    <row r="44" spans="4:5">
      <c r="D44" s="115"/>
      <c r="E44" s="1"/>
    </row>
    <row r="45" spans="4:5">
      <c r="D45" s="115"/>
      <c r="E45" s="1"/>
    </row>
    <row r="46" spans="4:5">
      <c r="D46" s="115"/>
      <c r="E46" s="1"/>
    </row>
    <row r="47" spans="4:5">
      <c r="D47" s="115"/>
      <c r="E47" s="1"/>
    </row>
    <row r="48" spans="4:5">
      <c r="D48" s="115"/>
      <c r="E48" s="1"/>
    </row>
    <row r="49" spans="4:5">
      <c r="D49" s="115"/>
      <c r="E49" s="1"/>
    </row>
    <row r="50" spans="4:5">
      <c r="D50" s="115"/>
      <c r="E50" s="1"/>
    </row>
    <row r="51" spans="4:5">
      <c r="D51" s="116"/>
      <c r="E51" s="11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39"/>
  <sheetViews>
    <sheetView showGridLines="0" topLeftCell="A3" workbookViewId="0">
      <selection activeCell="H34" sqref="H34"/>
    </sheetView>
  </sheetViews>
  <sheetFormatPr defaultRowHeight="15"/>
  <cols>
    <col min="4" max="4" width="30.855468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59" t="s">
        <v>65</v>
      </c>
      <c r="E4" s="60"/>
      <c r="F4" s="60"/>
      <c r="G4" s="60"/>
      <c r="H4" s="58"/>
      <c r="I4" s="58"/>
    </row>
    <row r="5" spans="4:21">
      <c r="D5" s="61" t="s">
        <v>9</v>
      </c>
      <c r="E5" s="62">
        <v>1</v>
      </c>
      <c r="F5" s="62">
        <v>2</v>
      </c>
      <c r="G5" s="62">
        <v>3</v>
      </c>
      <c r="H5" s="121"/>
      <c r="I5" s="121"/>
      <c r="S5" s="110"/>
      <c r="T5" s="110"/>
      <c r="U5" s="110"/>
    </row>
    <row r="6" spans="4:21">
      <c r="D6" s="63" t="s">
        <v>51</v>
      </c>
      <c r="E6" s="64">
        <f>'Revenue Overview'!F16</f>
        <v>945693</v>
      </c>
      <c r="F6" s="64">
        <f>'Revenue Overview'!G16</f>
        <v>1011891.5100000001</v>
      </c>
      <c r="G6" s="76">
        <f>'Revenue Overview'!H16</f>
        <v>1082723.9157</v>
      </c>
      <c r="H6" s="126"/>
      <c r="I6" s="126"/>
      <c r="J6" s="107"/>
      <c r="K6" s="107"/>
      <c r="L6" s="107"/>
      <c r="M6" s="107"/>
      <c r="N6" s="107"/>
      <c r="O6" s="107"/>
      <c r="S6" s="110"/>
      <c r="T6" s="110"/>
      <c r="U6" s="110"/>
    </row>
    <row r="7" spans="4:21">
      <c r="D7" s="65" t="s">
        <v>52</v>
      </c>
      <c r="E7" s="66">
        <f>'Revenue Overview'!F31</f>
        <v>47284.65</v>
      </c>
      <c r="F7" s="66">
        <f>'Revenue Overview'!G31</f>
        <v>50594.575500000006</v>
      </c>
      <c r="G7" s="75">
        <f>'Revenue Overview'!H31</f>
        <v>54136.195785000011</v>
      </c>
      <c r="H7" s="122"/>
      <c r="I7" s="122"/>
      <c r="J7" s="107"/>
      <c r="K7" s="148" t="s">
        <v>51</v>
      </c>
      <c r="L7" s="149">
        <f>E6</f>
        <v>945693</v>
      </c>
      <c r="M7" s="149">
        <f>F6</f>
        <v>1011891.5100000001</v>
      </c>
      <c r="N7" s="149">
        <f>G6</f>
        <v>1082723.9157</v>
      </c>
      <c r="O7" s="109"/>
      <c r="P7" s="109"/>
      <c r="S7" s="110"/>
      <c r="T7" s="110"/>
      <c r="U7" s="110"/>
    </row>
    <row r="8" spans="4:21">
      <c r="D8" s="67" t="s">
        <v>12</v>
      </c>
      <c r="E8" s="68">
        <f>1-(E7/E6)</f>
        <v>0.95</v>
      </c>
      <c r="F8" s="68">
        <f t="shared" ref="F8:G8" si="0">1-(F7/F6)</f>
        <v>0.95</v>
      </c>
      <c r="G8" s="128">
        <f t="shared" si="0"/>
        <v>0.95</v>
      </c>
      <c r="H8" s="123"/>
      <c r="I8" s="123"/>
      <c r="J8" s="107"/>
      <c r="K8" s="148" t="s">
        <v>76</v>
      </c>
      <c r="L8" s="149">
        <f>E6</f>
        <v>945693</v>
      </c>
      <c r="M8" s="149">
        <f>F6</f>
        <v>1011891.5100000001</v>
      </c>
      <c r="N8" s="149">
        <f>G6</f>
        <v>1082723.9157</v>
      </c>
      <c r="O8" s="109"/>
      <c r="P8" s="109"/>
      <c r="S8" s="110"/>
      <c r="T8" s="110"/>
      <c r="U8" s="110"/>
    </row>
    <row r="9" spans="4:21">
      <c r="D9" s="69"/>
      <c r="E9" s="69"/>
      <c r="F9" s="69"/>
      <c r="G9" s="69"/>
      <c r="H9" s="58"/>
      <c r="I9" s="58"/>
      <c r="J9" s="107"/>
      <c r="K9" s="148"/>
      <c r="L9" s="149"/>
      <c r="M9" s="149"/>
      <c r="N9" s="149"/>
      <c r="O9" s="109"/>
      <c r="P9" s="109"/>
      <c r="S9" s="110"/>
      <c r="T9" s="110"/>
      <c r="U9" s="110"/>
    </row>
    <row r="10" spans="4:21">
      <c r="D10" s="70" t="s">
        <v>10</v>
      </c>
      <c r="E10" s="71">
        <f>E6-E7</f>
        <v>898408.35</v>
      </c>
      <c r="F10" s="71">
        <f t="shared" ref="F10:G10" si="1">F6-F7</f>
        <v>961296.93450000009</v>
      </c>
      <c r="G10" s="79">
        <f t="shared" si="1"/>
        <v>1028587.719915</v>
      </c>
      <c r="H10" s="126"/>
      <c r="I10" s="126"/>
      <c r="J10" s="107"/>
      <c r="K10" s="148" t="s">
        <v>47</v>
      </c>
      <c r="L10" s="149">
        <f>E23</f>
        <v>219810.62030000007</v>
      </c>
      <c r="M10" s="149">
        <f>F23</f>
        <v>259118.46372100012</v>
      </c>
      <c r="N10" s="149">
        <f>G23</f>
        <v>301447.48918147013</v>
      </c>
      <c r="O10" s="109"/>
      <c r="P10" s="109"/>
      <c r="S10" s="110"/>
      <c r="T10" s="110"/>
      <c r="U10" s="110"/>
    </row>
    <row r="11" spans="4:21">
      <c r="D11" s="69"/>
      <c r="E11" s="69"/>
      <c r="F11" s="69"/>
      <c r="G11" s="69"/>
      <c r="H11" s="58"/>
      <c r="I11" s="58"/>
      <c r="J11" s="107"/>
      <c r="K11" s="148" t="s">
        <v>77</v>
      </c>
      <c r="L11" s="149">
        <f>L10</f>
        <v>219810.62030000007</v>
      </c>
      <c r="M11" s="149">
        <f t="shared" ref="M11:N11" si="2">M10</f>
        <v>259118.46372100012</v>
      </c>
      <c r="N11" s="149">
        <f t="shared" si="2"/>
        <v>301447.48918147013</v>
      </c>
      <c r="O11" s="109"/>
      <c r="P11" s="109"/>
      <c r="S11" s="110"/>
      <c r="T11" s="110"/>
      <c r="U11" s="110"/>
    </row>
    <row r="12" spans="4:21">
      <c r="D12" s="69" t="s">
        <v>13</v>
      </c>
      <c r="E12" s="69"/>
      <c r="F12" s="69"/>
      <c r="G12" s="69"/>
      <c r="H12" s="58"/>
      <c r="I12" s="58"/>
      <c r="J12" s="107"/>
      <c r="K12" s="148"/>
      <c r="L12" s="148"/>
      <c r="M12" s="148"/>
      <c r="N12" s="148"/>
      <c r="O12" s="107"/>
      <c r="P12" s="107"/>
      <c r="S12" s="110"/>
      <c r="T12" s="110"/>
      <c r="U12" s="110"/>
    </row>
    <row r="13" spans="4:21">
      <c r="D13" s="72" t="s">
        <v>53</v>
      </c>
      <c r="E13" s="73">
        <f>'Personnel - Editable'!H16</f>
        <v>535000</v>
      </c>
      <c r="F13" s="73">
        <f>'Personnel - Editable'!I16</f>
        <v>551050</v>
      </c>
      <c r="G13" s="73">
        <f>'Personnel - Editable'!J16</f>
        <v>567581.5</v>
      </c>
      <c r="H13" s="122"/>
      <c r="I13" s="122"/>
      <c r="J13" s="107"/>
      <c r="K13" s="148" t="s">
        <v>75</v>
      </c>
      <c r="L13" s="149">
        <f>E21</f>
        <v>678597.72969999991</v>
      </c>
      <c r="M13" s="149">
        <f>F21</f>
        <v>702178.47077899997</v>
      </c>
      <c r="N13" s="149">
        <f>G21</f>
        <v>727140.2307335299</v>
      </c>
      <c r="O13" s="109"/>
      <c r="P13" s="109"/>
      <c r="S13" s="110"/>
      <c r="T13" s="110"/>
      <c r="U13" s="110"/>
    </row>
    <row r="14" spans="4:21">
      <c r="D14" s="74" t="str">
        <f>Inputs!B18</f>
        <v>Facility Costs</v>
      </c>
      <c r="E14" s="75">
        <f>Inputs!C18</f>
        <v>25000</v>
      </c>
      <c r="F14" s="75">
        <f>Inputs!D18</f>
        <v>25750</v>
      </c>
      <c r="G14" s="75">
        <f>Inputs!E18</f>
        <v>26522.5</v>
      </c>
      <c r="H14" s="122"/>
      <c r="I14" s="122"/>
      <c r="J14" s="107"/>
      <c r="K14" s="148" t="s">
        <v>78</v>
      </c>
      <c r="L14" s="149">
        <f>E21</f>
        <v>678597.72969999991</v>
      </c>
      <c r="M14" s="149">
        <f>F21</f>
        <v>702178.47077899997</v>
      </c>
      <c r="N14" s="149">
        <f>G21</f>
        <v>727140.2307335299</v>
      </c>
      <c r="O14" s="109"/>
      <c r="P14" s="109"/>
      <c r="U14" s="110"/>
    </row>
    <row r="15" spans="4:21">
      <c r="D15" s="101" t="str">
        <f>Inputs!B19</f>
        <v>General and Administrative</v>
      </c>
      <c r="E15" s="73">
        <f>Inputs!C19</f>
        <v>14847.380099999998</v>
      </c>
      <c r="F15" s="73">
        <f>Inputs!D19</f>
        <v>15886.696707000001</v>
      </c>
      <c r="G15" s="73">
        <f>Inputs!E19</f>
        <v>16998.76547649</v>
      </c>
      <c r="H15" s="122"/>
      <c r="I15" s="122"/>
      <c r="J15" s="107"/>
      <c r="K15" s="107"/>
      <c r="L15" s="107"/>
      <c r="M15" s="107"/>
      <c r="N15" s="107"/>
      <c r="O15" s="107"/>
      <c r="P15" s="107"/>
      <c r="U15" s="110"/>
    </row>
    <row r="16" spans="4:21">
      <c r="D16" s="74" t="str">
        <f>Inputs!B20</f>
        <v>Equipment Costs</v>
      </c>
      <c r="E16" s="75">
        <f>Inputs!C20</f>
        <v>14374.533600000001</v>
      </c>
      <c r="F16" s="75">
        <f>Inputs!D20</f>
        <v>15380.750952000002</v>
      </c>
      <c r="G16" s="75">
        <f>Inputs!E20</f>
        <v>16457.40351864</v>
      </c>
      <c r="H16" s="122"/>
      <c r="I16" s="122"/>
      <c r="U16" s="110"/>
    </row>
    <row r="17" spans="4:21">
      <c r="D17" s="101" t="str">
        <f>Inputs!B21</f>
        <v>Insurance Costs</v>
      </c>
      <c r="E17" s="73">
        <f>Inputs!C21</f>
        <v>32100</v>
      </c>
      <c r="F17" s="73">
        <f>Inputs!D21</f>
        <v>33063</v>
      </c>
      <c r="G17" s="73">
        <f>Inputs!E21</f>
        <v>34054.89</v>
      </c>
      <c r="H17" s="122"/>
      <c r="I17" s="122"/>
      <c r="U17" s="110"/>
    </row>
    <row r="18" spans="4:21">
      <c r="D18" s="74" t="str">
        <f>Inputs!B22</f>
        <v>Marketing</v>
      </c>
      <c r="E18" s="75">
        <f>Inputs!C22</f>
        <v>11348.316000000001</v>
      </c>
      <c r="F18" s="75">
        <f>Inputs!D22</f>
        <v>12142.698120000001</v>
      </c>
      <c r="G18" s="75">
        <f>Inputs!E22</f>
        <v>12992.686988400001</v>
      </c>
      <c r="H18" s="122"/>
      <c r="I18" s="122"/>
      <c r="U18" s="110"/>
    </row>
    <row r="19" spans="4:21">
      <c r="D19" s="101" t="str">
        <f>Inputs!B23</f>
        <v>Professional Fees and Licensure</v>
      </c>
      <c r="E19" s="73">
        <f>Inputs!C23</f>
        <v>5000</v>
      </c>
      <c r="F19" s="73">
        <f>Inputs!D23</f>
        <v>6750</v>
      </c>
      <c r="G19" s="73">
        <f>Inputs!E23</f>
        <v>9112.5</v>
      </c>
      <c r="H19" s="122"/>
      <c r="I19" s="122"/>
      <c r="U19" s="110"/>
    </row>
    <row r="20" spans="4:21">
      <c r="D20" s="74" t="s">
        <v>14</v>
      </c>
      <c r="E20" s="75">
        <f>E13*'Tax Assumptions '!F9</f>
        <v>40927.5</v>
      </c>
      <c r="F20" s="75">
        <f>F13*'Tax Assumptions '!G9</f>
        <v>42155.324999999997</v>
      </c>
      <c r="G20" s="75">
        <f>G13*'Tax Assumptions '!H9</f>
        <v>43419.984749999996</v>
      </c>
      <c r="H20" s="122"/>
      <c r="I20" s="122"/>
      <c r="U20" s="110"/>
    </row>
    <row r="21" spans="4:21">
      <c r="D21" s="63" t="s">
        <v>75</v>
      </c>
      <c r="E21" s="76">
        <f>SUM(E13:E20)</f>
        <v>678597.72969999991</v>
      </c>
      <c r="F21" s="76">
        <f t="shared" ref="F21:G21" si="3">SUM(F13:F20)</f>
        <v>702178.47077899997</v>
      </c>
      <c r="G21" s="76">
        <f t="shared" si="3"/>
        <v>727140.2307335299</v>
      </c>
      <c r="H21" s="126"/>
      <c r="I21" s="126"/>
      <c r="U21" s="110"/>
    </row>
    <row r="22" spans="4:21">
      <c r="D22" s="69"/>
      <c r="E22" s="69"/>
      <c r="F22" s="69"/>
      <c r="G22" s="69"/>
      <c r="H22" s="131"/>
      <c r="I22" s="58"/>
      <c r="U22" s="110"/>
    </row>
    <row r="23" spans="4:21">
      <c r="D23" s="77" t="s">
        <v>47</v>
      </c>
      <c r="E23" s="78">
        <f>E10-E21</f>
        <v>219810.62030000007</v>
      </c>
      <c r="F23" s="78">
        <f t="shared" ref="F23:G23" si="4">F10-F21</f>
        <v>259118.46372100012</v>
      </c>
      <c r="G23" s="78">
        <f t="shared" si="4"/>
        <v>301447.48918147013</v>
      </c>
      <c r="H23" s="129"/>
      <c r="I23" s="126"/>
      <c r="U23" s="110"/>
    </row>
    <row r="24" spans="4:21">
      <c r="D24" s="67" t="s">
        <v>15</v>
      </c>
      <c r="E24" s="73">
        <f>(E23-E26-E27)*'Tax Assumptions '!F7</f>
        <v>45741.59206061341</v>
      </c>
      <c r="F24" s="73">
        <f>(F23-F26-F27)*'Tax Assumptions '!G7</f>
        <v>55947.497137416736</v>
      </c>
      <c r="G24" s="73">
        <f>(G23-G26-G27)*'Tax Assumptions '!H7</f>
        <v>66944.245305901815</v>
      </c>
      <c r="H24" s="130"/>
      <c r="I24" s="122"/>
      <c r="U24" s="110"/>
    </row>
    <row r="25" spans="4:21">
      <c r="D25" s="65" t="s">
        <v>102</v>
      </c>
      <c r="E25" s="75">
        <f>(E23-E26-E27)*'Tax Assumptions '!F8</f>
        <v>9148.3184121226823</v>
      </c>
      <c r="F25" s="75">
        <f>(F23-F26-F27)*'Tax Assumptions '!G8</f>
        <v>11189.499427483348</v>
      </c>
      <c r="G25" s="75">
        <f>(G23-G26-G27)*'Tax Assumptions '!H8</f>
        <v>13388.849061180365</v>
      </c>
      <c r="H25" s="130"/>
      <c r="I25" s="122"/>
      <c r="U25" s="110"/>
    </row>
    <row r="26" spans="4:21">
      <c r="D26" s="67" t="s">
        <v>16</v>
      </c>
      <c r="E26" s="73">
        <f>SUM('Loan Amortization Table'!D14:D25)</f>
        <v>21844.252057546426</v>
      </c>
      <c r="F26" s="73">
        <f>SUM('Loan Amortization Table'!D26:D37)</f>
        <v>20328.475171333168</v>
      </c>
      <c r="G26" s="73">
        <f>SUM('Loan Amortization Table'!D38:D49)</f>
        <v>18670.507957862861</v>
      </c>
      <c r="H26" s="122"/>
      <c r="I26" s="122"/>
    </row>
    <row r="27" spans="4:21">
      <c r="D27" s="65" t="s">
        <v>54</v>
      </c>
      <c r="E27" s="75">
        <v>15000</v>
      </c>
      <c r="F27" s="75">
        <v>15000</v>
      </c>
      <c r="G27" s="75">
        <v>15000</v>
      </c>
      <c r="H27" s="122"/>
      <c r="I27" s="122"/>
    </row>
    <row r="28" spans="4:21">
      <c r="D28" s="77" t="s">
        <v>17</v>
      </c>
      <c r="E28" s="78">
        <f>E23-SUM(E24:E27)</f>
        <v>128076.45776971756</v>
      </c>
      <c r="F28" s="78">
        <f t="shared" ref="F28:G28" si="5">F23-SUM(F24:F27)</f>
        <v>156652.99198476688</v>
      </c>
      <c r="G28" s="78">
        <f t="shared" si="5"/>
        <v>187443.88685652509</v>
      </c>
      <c r="H28" s="126"/>
      <c r="I28" s="126"/>
    </row>
    <row r="30" spans="4:21">
      <c r="D30" s="59" t="s">
        <v>65</v>
      </c>
      <c r="E30" s="60"/>
      <c r="F30" s="60"/>
      <c r="G30" s="60"/>
      <c r="H30" s="58"/>
      <c r="I30" s="58"/>
      <c r="K30" s="1"/>
      <c r="L30" s="1"/>
      <c r="M30" s="1"/>
    </row>
    <row r="31" spans="4:21">
      <c r="D31" s="61" t="s">
        <v>9</v>
      </c>
      <c r="E31" s="62">
        <v>1</v>
      </c>
      <c r="F31" s="62">
        <v>2</v>
      </c>
      <c r="G31" s="62">
        <v>3</v>
      </c>
      <c r="H31" s="121"/>
      <c r="I31" s="121"/>
      <c r="K31" s="1"/>
      <c r="L31" s="1"/>
      <c r="M31" s="1"/>
    </row>
    <row r="32" spans="4:21">
      <c r="D32" s="63" t="s">
        <v>51</v>
      </c>
      <c r="E32" s="64">
        <f>E6</f>
        <v>945693</v>
      </c>
      <c r="F32" s="64">
        <f t="shared" ref="F32:G32" si="6">F6</f>
        <v>1011891.5100000001</v>
      </c>
      <c r="G32" s="76">
        <f t="shared" si="6"/>
        <v>1082723.9157</v>
      </c>
      <c r="H32" s="126"/>
      <c r="I32" s="126"/>
    </row>
    <row r="33" spans="4:13">
      <c r="D33" s="65" t="s">
        <v>52</v>
      </c>
      <c r="E33" s="66">
        <f>E7</f>
        <v>47284.65</v>
      </c>
      <c r="F33" s="66">
        <f t="shared" ref="F33:G33" si="7">F7</f>
        <v>50594.575500000006</v>
      </c>
      <c r="G33" s="75">
        <f t="shared" si="7"/>
        <v>54136.195785000011</v>
      </c>
      <c r="H33" s="122"/>
      <c r="I33" s="122"/>
    </row>
    <row r="34" spans="4:13">
      <c r="D34" s="63" t="s">
        <v>10</v>
      </c>
      <c r="E34" s="64">
        <f>E10</f>
        <v>898408.35</v>
      </c>
      <c r="F34" s="64">
        <f t="shared" ref="F34:G34" si="8">F10</f>
        <v>961296.93450000009</v>
      </c>
      <c r="G34" s="76">
        <f t="shared" si="8"/>
        <v>1028587.719915</v>
      </c>
      <c r="H34" s="126"/>
      <c r="I34" s="126"/>
      <c r="K34" s="1"/>
      <c r="L34" s="1"/>
      <c r="M34" s="1"/>
    </row>
    <row r="35" spans="4:13">
      <c r="D35" s="70" t="s">
        <v>13</v>
      </c>
      <c r="E35" s="79">
        <f>E21</f>
        <v>678597.72969999991</v>
      </c>
      <c r="F35" s="79">
        <f t="shared" ref="F35:G35" si="9">F21</f>
        <v>702178.47077899997</v>
      </c>
      <c r="G35" s="79">
        <f t="shared" si="9"/>
        <v>727140.2307335299</v>
      </c>
      <c r="H35" s="126"/>
      <c r="I35" s="126"/>
    </row>
    <row r="36" spans="4:13">
      <c r="D36" s="77" t="s">
        <v>47</v>
      </c>
      <c r="E36" s="78">
        <f>E23</f>
        <v>219810.62030000007</v>
      </c>
      <c r="F36" s="78">
        <f t="shared" ref="F36:G36" si="10">F23</f>
        <v>259118.46372100012</v>
      </c>
      <c r="G36" s="78">
        <f t="shared" si="10"/>
        <v>301447.48918147013</v>
      </c>
      <c r="H36" s="126"/>
      <c r="I36" s="126"/>
    </row>
    <row r="38" spans="4:13">
      <c r="D38" s="110"/>
      <c r="E38" s="110"/>
      <c r="F38" s="110"/>
      <c r="G38" s="110"/>
    </row>
    <row r="39" spans="4:13">
      <c r="D39" s="110"/>
      <c r="E39" s="110"/>
      <c r="F39" s="110"/>
      <c r="G39" s="110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2"/>
  <sheetViews>
    <sheetView showGridLines="0" workbookViewId="0">
      <selection activeCell="I32" sqref="I32"/>
    </sheetView>
  </sheetViews>
  <sheetFormatPr defaultRowHeight="15"/>
  <cols>
    <col min="4" max="4" width="24.85546875" customWidth="1"/>
    <col min="5" max="9" width="12.7109375" customWidth="1"/>
  </cols>
  <sheetData>
    <row r="4" spans="4:9">
      <c r="D4" s="59" t="s">
        <v>66</v>
      </c>
      <c r="E4" s="60"/>
      <c r="F4" s="60"/>
      <c r="G4" s="60"/>
      <c r="H4" s="58"/>
      <c r="I4" s="58"/>
    </row>
    <row r="5" spans="4:9">
      <c r="D5" s="80" t="s">
        <v>9</v>
      </c>
      <c r="E5" s="80">
        <v>1</v>
      </c>
      <c r="F5" s="80">
        <v>2</v>
      </c>
      <c r="G5" s="87">
        <v>3</v>
      </c>
      <c r="H5" s="121"/>
      <c r="I5" s="121"/>
    </row>
    <row r="6" spans="4:9">
      <c r="D6" s="63" t="s">
        <v>67</v>
      </c>
      <c r="E6" s="76">
        <f>'Profit and Loss Statement'!E28+'Profit and Loss Statement'!E27</f>
        <v>143076.45776971756</v>
      </c>
      <c r="F6" s="76">
        <f>'Profit and Loss Statement'!F28+'Profit and Loss Statement'!F27</f>
        <v>171652.99198476688</v>
      </c>
      <c r="G6" s="76">
        <f>'Profit and Loss Statement'!G28+'Profit and Loss Statement'!G27</f>
        <v>202443.88685652509</v>
      </c>
      <c r="H6" s="126"/>
      <c r="I6" s="126"/>
    </row>
    <row r="7" spans="4:9">
      <c r="D7" s="69"/>
      <c r="E7" s="69"/>
      <c r="F7" s="69"/>
      <c r="G7" s="69"/>
      <c r="H7" s="58"/>
      <c r="I7" s="58"/>
    </row>
    <row r="8" spans="4:9">
      <c r="D8" s="81" t="s">
        <v>19</v>
      </c>
      <c r="E8" s="69"/>
      <c r="F8" s="69"/>
      <c r="G8" s="69"/>
      <c r="H8" s="58"/>
      <c r="I8" s="58"/>
    </row>
    <row r="9" spans="4:9">
      <c r="D9" s="67" t="s">
        <v>20</v>
      </c>
      <c r="E9" s="82">
        <f>'Use of Funds'!E21</f>
        <v>50000</v>
      </c>
      <c r="F9" s="82">
        <v>0</v>
      </c>
      <c r="G9" s="82">
        <v>0</v>
      </c>
      <c r="H9" s="125"/>
      <c r="I9" s="125"/>
    </row>
    <row r="10" spans="4:9">
      <c r="D10" s="65" t="s">
        <v>21</v>
      </c>
      <c r="E10" s="83">
        <f>'Use of Funds'!E22</f>
        <v>250000</v>
      </c>
      <c r="F10" s="83">
        <v>0</v>
      </c>
      <c r="G10" s="83">
        <v>0</v>
      </c>
      <c r="H10" s="125"/>
      <c r="I10" s="125"/>
    </row>
    <row r="11" spans="4:9">
      <c r="D11" s="67" t="s">
        <v>22</v>
      </c>
      <c r="E11" s="73">
        <v>10000</v>
      </c>
      <c r="F11" s="73">
        <f>E11*1.02</f>
        <v>10200</v>
      </c>
      <c r="G11" s="73">
        <f>F11*1.02</f>
        <v>10404</v>
      </c>
      <c r="H11" s="122"/>
      <c r="I11" s="122"/>
    </row>
    <row r="12" spans="4:9">
      <c r="D12" s="70" t="s">
        <v>23</v>
      </c>
      <c r="E12" s="84">
        <f>SUM(E9:E11)</f>
        <v>310000</v>
      </c>
      <c r="F12" s="84">
        <f t="shared" ref="F12:G12" si="0">SUM(F9:F11)</f>
        <v>10200</v>
      </c>
      <c r="G12" s="84">
        <f t="shared" si="0"/>
        <v>10404</v>
      </c>
      <c r="H12" s="127"/>
      <c r="I12" s="127"/>
    </row>
    <row r="13" spans="4:9">
      <c r="D13" s="69"/>
      <c r="E13" s="69"/>
      <c r="F13" s="69"/>
      <c r="G13" s="69"/>
      <c r="H13" s="58"/>
      <c r="I13" s="58"/>
    </row>
    <row r="14" spans="4:9">
      <c r="D14" s="69"/>
      <c r="E14" s="69"/>
      <c r="F14" s="69"/>
      <c r="G14" s="69"/>
      <c r="H14" s="58"/>
      <c r="I14" s="58"/>
    </row>
    <row r="15" spans="4:9">
      <c r="D15" s="63" t="s">
        <v>18</v>
      </c>
      <c r="E15" s="85">
        <f>E12+E6</f>
        <v>453076.45776971756</v>
      </c>
      <c r="F15" s="85">
        <f t="shared" ref="F15:G15" si="1">F12+F6</f>
        <v>181852.99198476688</v>
      </c>
      <c r="G15" s="85">
        <f t="shared" si="1"/>
        <v>212847.88685652509</v>
      </c>
      <c r="H15" s="127"/>
      <c r="I15" s="127"/>
    </row>
    <row r="16" spans="4:9">
      <c r="D16" s="69"/>
      <c r="E16" s="69"/>
      <c r="F16" s="69"/>
      <c r="G16" s="69"/>
      <c r="H16" s="58"/>
      <c r="I16" s="58"/>
    </row>
    <row r="17" spans="4:9">
      <c r="D17" s="69" t="s">
        <v>24</v>
      </c>
      <c r="E17" s="69"/>
      <c r="F17" s="69"/>
      <c r="G17" s="69"/>
      <c r="H17" s="58"/>
      <c r="I17" s="58"/>
    </row>
    <row r="18" spans="4:9">
      <c r="D18" s="65" t="s">
        <v>68</v>
      </c>
      <c r="E18" s="75">
        <f>SUM('Loan Amortization Table'!C14:C25)</f>
        <v>16158.48006752842</v>
      </c>
      <c r="F18" s="75">
        <f>SUM('Loan Amortization Table'!C26:C37)</f>
        <v>17674.256953741678</v>
      </c>
      <c r="G18" s="75">
        <f>SUM('Loan Amortization Table'!C38:C49)</f>
        <v>19332.224167211985</v>
      </c>
      <c r="H18" s="122"/>
      <c r="I18" s="122"/>
    </row>
    <row r="19" spans="4:9">
      <c r="D19" s="67" t="s">
        <v>25</v>
      </c>
      <c r="E19" s="73">
        <f>E11*0.7</f>
        <v>7000</v>
      </c>
      <c r="F19" s="73">
        <f t="shared" ref="F19:G19" si="2">F11*0.7</f>
        <v>7140</v>
      </c>
      <c r="G19" s="73">
        <f t="shared" si="2"/>
        <v>7282.7999999999993</v>
      </c>
      <c r="H19" s="122"/>
      <c r="I19" s="122"/>
    </row>
    <row r="20" spans="4:9">
      <c r="D20" s="65" t="s">
        <v>33</v>
      </c>
      <c r="E20" s="75">
        <f>'Use of Funds'!$E$6</f>
        <v>190000</v>
      </c>
      <c r="F20" s="75">
        <f>F6*0.05</f>
        <v>8582.6495992383443</v>
      </c>
      <c r="G20" s="75">
        <f>G6*0.05</f>
        <v>10122.194342826255</v>
      </c>
      <c r="H20" s="122"/>
      <c r="I20" s="122"/>
    </row>
    <row r="21" spans="4:9">
      <c r="D21" s="67" t="s">
        <v>32</v>
      </c>
      <c r="E21" s="73">
        <f>E6*0.7</f>
        <v>100153.52043880228</v>
      </c>
      <c r="F21" s="73">
        <f t="shared" ref="F21:G21" si="3">F6*0.7</f>
        <v>120157.09438933681</v>
      </c>
      <c r="G21" s="73">
        <f t="shared" si="3"/>
        <v>141710.72079956756</v>
      </c>
      <c r="H21" s="122"/>
      <c r="I21" s="122"/>
    </row>
    <row r="22" spans="4:9">
      <c r="D22" s="70" t="s">
        <v>26</v>
      </c>
      <c r="E22" s="79">
        <f>SUM(E18:E21)</f>
        <v>313312.00050633075</v>
      </c>
      <c r="F22" s="79">
        <f t="shared" ref="F22:G22" si="4">SUM(F18:F21)</f>
        <v>153554.00094231684</v>
      </c>
      <c r="G22" s="79">
        <f t="shared" si="4"/>
        <v>178447.9393096058</v>
      </c>
      <c r="H22" s="126"/>
      <c r="I22" s="126"/>
    </row>
    <row r="23" spans="4:9">
      <c r="D23" s="69"/>
      <c r="E23" s="69"/>
      <c r="F23" s="69"/>
      <c r="G23" s="69"/>
      <c r="H23" s="58"/>
      <c r="I23" s="58"/>
    </row>
    <row r="24" spans="4:9">
      <c r="D24" s="77" t="s">
        <v>27</v>
      </c>
      <c r="E24" s="86">
        <f>E15-E22</f>
        <v>139764.45726338681</v>
      </c>
      <c r="F24" s="86">
        <f t="shared" ref="F24:G24" si="5">F15-F22</f>
        <v>28298.991042450041</v>
      </c>
      <c r="G24" s="86">
        <f t="shared" si="5"/>
        <v>34399.947546919284</v>
      </c>
      <c r="H24" s="127"/>
      <c r="I24" s="127"/>
    </row>
    <row r="25" spans="4:9">
      <c r="D25" s="77" t="s">
        <v>6</v>
      </c>
      <c r="E25" s="86">
        <f>E24</f>
        <v>139764.45726338681</v>
      </c>
      <c r="F25" s="86">
        <f>E25+F24</f>
        <v>168063.44830583685</v>
      </c>
      <c r="G25" s="86">
        <f>F25+G24</f>
        <v>202463.39585275613</v>
      </c>
      <c r="H25" s="127"/>
      <c r="I25" s="127"/>
    </row>
    <row r="27" spans="4:9">
      <c r="D27" s="107"/>
      <c r="E27" s="107"/>
      <c r="F27" s="107"/>
      <c r="G27" s="107"/>
    </row>
    <row r="28" spans="4:9">
      <c r="D28" s="107" t="s">
        <v>79</v>
      </c>
      <c r="E28" s="109">
        <f>E6</f>
        <v>143076.45776971756</v>
      </c>
      <c r="F28" s="109">
        <f t="shared" ref="F28:G28" si="6">F6</f>
        <v>171652.99198476688</v>
      </c>
      <c r="G28" s="109">
        <f t="shared" si="6"/>
        <v>202443.88685652509</v>
      </c>
      <c r="H28" s="1"/>
      <c r="I28" s="1"/>
    </row>
    <row r="29" spans="4:9">
      <c r="D29" s="107" t="s">
        <v>80</v>
      </c>
      <c r="E29" s="109">
        <f>E18</f>
        <v>16158.48006752842</v>
      </c>
      <c r="F29" s="109">
        <f t="shared" ref="F29:G29" si="7">F18</f>
        <v>17674.256953741678</v>
      </c>
      <c r="G29" s="109">
        <f t="shared" si="7"/>
        <v>19332.224167211985</v>
      </c>
      <c r="H29" s="1"/>
      <c r="I29" s="1"/>
    </row>
    <row r="30" spans="4:9">
      <c r="D30" s="107" t="s">
        <v>81</v>
      </c>
      <c r="E30" s="109">
        <f>E21</f>
        <v>100153.52043880228</v>
      </c>
      <c r="F30" s="109">
        <f t="shared" ref="F30:G30" si="8">F21</f>
        <v>120157.09438933681</v>
      </c>
      <c r="G30" s="109">
        <f t="shared" si="8"/>
        <v>141710.72079956756</v>
      </c>
      <c r="H30" s="1"/>
      <c r="I30" s="1"/>
    </row>
    <row r="31" spans="4:9">
      <c r="D31" s="107"/>
      <c r="E31" s="107"/>
      <c r="F31" s="107"/>
      <c r="G31" s="107"/>
    </row>
    <row r="32" spans="4:9">
      <c r="D32" s="107"/>
      <c r="E32" s="107"/>
      <c r="F32" s="107"/>
      <c r="G32" s="107"/>
    </row>
  </sheetData>
  <sheetProtection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J35" sqref="J35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59" t="s">
        <v>70</v>
      </c>
      <c r="E4" s="60"/>
      <c r="F4" s="60"/>
      <c r="G4" s="60"/>
      <c r="H4" s="58"/>
      <c r="I4" s="58"/>
    </row>
    <row r="5" spans="4:9">
      <c r="D5" s="87" t="s">
        <v>9</v>
      </c>
      <c r="E5" s="87">
        <v>1</v>
      </c>
      <c r="F5" s="87">
        <v>2</v>
      </c>
      <c r="G5" s="87">
        <v>3</v>
      </c>
      <c r="H5" s="121"/>
      <c r="I5" s="121"/>
    </row>
    <row r="6" spans="4:9">
      <c r="D6" s="88" t="s">
        <v>28</v>
      </c>
      <c r="E6" s="58"/>
      <c r="F6" s="58"/>
      <c r="G6" s="58"/>
      <c r="H6" s="58"/>
      <c r="I6" s="58"/>
    </row>
    <row r="7" spans="4:9">
      <c r="D7" s="67" t="s">
        <v>71</v>
      </c>
      <c r="E7" s="73">
        <f>'Cash Flow Analysis'!E25</f>
        <v>139764.45726338681</v>
      </c>
      <c r="F7" s="73">
        <f>'Cash Flow Analysis'!F25</f>
        <v>168063.44830583685</v>
      </c>
      <c r="G7" s="73">
        <f>'Cash Flow Analysis'!G25</f>
        <v>202463.39585275613</v>
      </c>
      <c r="H7" s="122"/>
      <c r="I7" s="122"/>
    </row>
    <row r="8" spans="4:9">
      <c r="D8" s="61" t="s">
        <v>124</v>
      </c>
      <c r="E8" s="89">
        <f>'Cash Flow Analysis'!E20</f>
        <v>190000</v>
      </c>
      <c r="F8" s="89">
        <f>E8+'Cash Flow Analysis'!F20</f>
        <v>198582.64959923836</v>
      </c>
      <c r="G8" s="89">
        <f>F8+'Cash Flow Analysis'!G20</f>
        <v>208704.84394206462</v>
      </c>
      <c r="H8" s="122"/>
      <c r="I8" s="122"/>
    </row>
    <row r="9" spans="4:9">
      <c r="D9" s="67" t="s">
        <v>48</v>
      </c>
      <c r="E9" s="82">
        <f>-'Profit and Loss Statement'!E27</f>
        <v>-15000</v>
      </c>
      <c r="F9" s="82">
        <f>E9-'Profit and Loss Statement'!F27</f>
        <v>-30000</v>
      </c>
      <c r="G9" s="82">
        <f>F9-'Profit and Loss Statement'!G27</f>
        <v>-45000</v>
      </c>
      <c r="H9" s="125"/>
      <c r="I9" s="125"/>
    </row>
    <row r="10" spans="4:9">
      <c r="D10" s="90" t="s">
        <v>7</v>
      </c>
      <c r="E10" s="91">
        <f>SUM(E7:E9)</f>
        <v>314764.45726338681</v>
      </c>
      <c r="F10" s="91">
        <f t="shared" ref="F10:G10" si="0">SUM(F7:F9)</f>
        <v>336646.09790507518</v>
      </c>
      <c r="G10" s="91">
        <f t="shared" si="0"/>
        <v>366168.23979482078</v>
      </c>
      <c r="H10" s="126"/>
      <c r="I10" s="126"/>
    </row>
    <row r="11" spans="4:9">
      <c r="D11" s="58"/>
      <c r="E11" s="58"/>
      <c r="F11" s="58"/>
      <c r="G11" s="58"/>
      <c r="H11" s="58"/>
      <c r="I11" s="58"/>
    </row>
    <row r="12" spans="4:9">
      <c r="D12" s="58" t="s">
        <v>72</v>
      </c>
      <c r="E12" s="58"/>
      <c r="F12" s="58"/>
      <c r="G12" s="58"/>
      <c r="H12" s="58"/>
      <c r="I12" s="58"/>
    </row>
    <row r="13" spans="4:9">
      <c r="D13" s="67" t="s">
        <v>29</v>
      </c>
      <c r="E13" s="73">
        <f>('Cash Flow Analysis'!E11-'Cash Flow Analysis'!E19)</f>
        <v>3000</v>
      </c>
      <c r="F13" s="73">
        <f>E13+('Cash Flow Analysis'!F11-'Cash Flow Analysis'!F19)</f>
        <v>6060</v>
      </c>
      <c r="G13" s="73">
        <f>F13+('Cash Flow Analysis'!G11-'Cash Flow Analysis'!G19)</f>
        <v>9181.2000000000007</v>
      </c>
      <c r="H13" s="122"/>
      <c r="I13" s="122"/>
    </row>
    <row r="14" spans="4:9">
      <c r="D14" s="61" t="s">
        <v>73</v>
      </c>
      <c r="E14" s="89">
        <f>'Loan Amortization Table'!E25</f>
        <v>233841.51993247156</v>
      </c>
      <c r="F14" s="89">
        <f>'Loan Amortization Table'!E37</f>
        <v>216167.26297872991</v>
      </c>
      <c r="G14" s="89">
        <f>'Loan Amortization Table'!E49</f>
        <v>196835.03881151794</v>
      </c>
      <c r="H14" s="122"/>
      <c r="I14" s="122"/>
    </row>
    <row r="15" spans="4:9">
      <c r="D15" s="63" t="s">
        <v>30</v>
      </c>
      <c r="E15" s="76">
        <f>SUM(E13:E14)</f>
        <v>236841.51993247156</v>
      </c>
      <c r="F15" s="76">
        <f t="shared" ref="F15:G15" si="1">SUM(F13:F14)</f>
        <v>222227.26297872991</v>
      </c>
      <c r="G15" s="76">
        <f t="shared" si="1"/>
        <v>206016.23881151795</v>
      </c>
      <c r="H15" s="126"/>
      <c r="I15" s="126"/>
    </row>
    <row r="16" spans="4:9">
      <c r="D16" s="58"/>
      <c r="E16" s="58"/>
      <c r="F16" s="58"/>
      <c r="G16" s="58"/>
      <c r="H16" s="58"/>
      <c r="I16" s="58"/>
    </row>
    <row r="17" spans="4:9">
      <c r="D17" s="77" t="s">
        <v>46</v>
      </c>
      <c r="E17" s="78">
        <f>E10-E15</f>
        <v>77922.937330915243</v>
      </c>
      <c r="F17" s="78">
        <f t="shared" ref="F17:G17" si="2">F10-F15</f>
        <v>114418.83492634527</v>
      </c>
      <c r="G17" s="78">
        <f t="shared" si="2"/>
        <v>160152.00098330283</v>
      </c>
      <c r="H17" s="126"/>
      <c r="I17" s="126"/>
    </row>
    <row r="18" spans="4:9">
      <c r="D18" s="77" t="s">
        <v>31</v>
      </c>
      <c r="E18" s="78">
        <f>E15+E17</f>
        <v>314764.45726338681</v>
      </c>
      <c r="F18" s="78">
        <f t="shared" ref="F18:G18" si="3">F15+F17</f>
        <v>336646.09790507518</v>
      </c>
      <c r="G18" s="78">
        <f t="shared" si="3"/>
        <v>366168.23979482078</v>
      </c>
      <c r="H18" s="126"/>
      <c r="I18" s="126"/>
    </row>
    <row r="21" spans="4:9">
      <c r="D21" s="107" t="s">
        <v>82</v>
      </c>
      <c r="E21" s="109">
        <f>E10-1</f>
        <v>314763.45726338681</v>
      </c>
      <c r="F21" s="109">
        <f t="shared" ref="F21:G21" si="4">F10-1</f>
        <v>336645.09790507518</v>
      </c>
      <c r="G21" s="109">
        <f t="shared" si="4"/>
        <v>366167.23979482078</v>
      </c>
      <c r="H21" s="109">
        <f t="shared" ref="H21:I21" si="5">H10-1</f>
        <v>-1</v>
      </c>
      <c r="I21" s="109">
        <f t="shared" si="5"/>
        <v>-1</v>
      </c>
    </row>
    <row r="22" spans="4:9">
      <c r="D22" s="107" t="s">
        <v>83</v>
      </c>
      <c r="E22" s="109">
        <f>E15</f>
        <v>236841.51993247156</v>
      </c>
      <c r="F22" s="109">
        <f t="shared" ref="F22:G22" si="6">F15</f>
        <v>222227.26297872991</v>
      </c>
      <c r="G22" s="109">
        <f t="shared" si="6"/>
        <v>206016.23881151795</v>
      </c>
      <c r="H22" s="109">
        <f t="shared" ref="H22:I22" si="7">H15</f>
        <v>0</v>
      </c>
      <c r="I22" s="109">
        <f t="shared" si="7"/>
        <v>0</v>
      </c>
    </row>
    <row r="23" spans="4:9">
      <c r="D23" s="107" t="s">
        <v>84</v>
      </c>
      <c r="E23" s="109">
        <f>E17</f>
        <v>77922.937330915243</v>
      </c>
      <c r="F23" s="109">
        <f t="shared" ref="F23:G23" si="8">F17</f>
        <v>114418.83492634527</v>
      </c>
      <c r="G23" s="109">
        <f t="shared" si="8"/>
        <v>160152.00098330283</v>
      </c>
      <c r="H23" s="109">
        <f t="shared" ref="H23:I23" si="9">H17</f>
        <v>0</v>
      </c>
      <c r="I23" s="109">
        <f t="shared" si="9"/>
        <v>0</v>
      </c>
    </row>
    <row r="24" spans="4:9">
      <c r="D24" s="107"/>
      <c r="E24" s="109"/>
      <c r="F24" s="109"/>
      <c r="G24" s="109"/>
      <c r="H24" s="107"/>
      <c r="I24" s="107"/>
    </row>
    <row r="25" spans="4:9">
      <c r="D25" s="107"/>
      <c r="E25" s="109"/>
      <c r="F25" s="109"/>
      <c r="G25" s="109"/>
      <c r="H25" s="107"/>
      <c r="I25" s="107"/>
    </row>
    <row r="26" spans="4:9">
      <c r="D26" s="107"/>
      <c r="E26" s="109"/>
      <c r="F26" s="109"/>
      <c r="G26" s="109"/>
      <c r="H26" s="107"/>
      <c r="I26" s="107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workbookViewId="0">
      <selection activeCell="L26" sqref="L26"/>
    </sheetView>
  </sheetViews>
  <sheetFormatPr defaultRowHeight="15"/>
  <cols>
    <col min="2" max="2" width="29.710937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6" t="s">
        <v>65</v>
      </c>
      <c r="C4" s="3"/>
      <c r="D4" s="3"/>
      <c r="E4" s="3"/>
      <c r="F4" s="3"/>
      <c r="G4" s="3"/>
      <c r="H4" s="3"/>
      <c r="I4" s="3"/>
    </row>
    <row r="5" spans="2:9">
      <c r="B5" s="8" t="s">
        <v>5</v>
      </c>
      <c r="C5" s="7">
        <v>1</v>
      </c>
      <c r="D5" s="7">
        <f>C5+1</f>
        <v>2</v>
      </c>
      <c r="E5" s="7">
        <f t="shared" ref="E5:I5" si="0">D5+1</f>
        <v>3</v>
      </c>
      <c r="F5" s="7">
        <f t="shared" si="0"/>
        <v>4</v>
      </c>
      <c r="G5" s="7">
        <f t="shared" si="0"/>
        <v>5</v>
      </c>
      <c r="H5" s="7">
        <f t="shared" si="0"/>
        <v>6</v>
      </c>
      <c r="I5" s="7">
        <f t="shared" si="0"/>
        <v>7</v>
      </c>
    </row>
    <row r="6" spans="2:9">
      <c r="B6" s="32" t="s">
        <v>51</v>
      </c>
      <c r="C6" s="5">
        <f>Inputs!C42</f>
        <v>78750</v>
      </c>
      <c r="D6" s="5">
        <f>Inputs!D42</f>
        <v>78760.5</v>
      </c>
      <c r="E6" s="5">
        <f>Inputs!E42</f>
        <v>78771</v>
      </c>
      <c r="F6" s="5">
        <f>Inputs!F42</f>
        <v>78781.5</v>
      </c>
      <c r="G6" s="5">
        <f>Inputs!G42</f>
        <v>78792</v>
      </c>
      <c r="H6" s="5">
        <f>Inputs!H42</f>
        <v>78802.5</v>
      </c>
      <c r="I6" s="5">
        <f>Inputs!I42</f>
        <v>78813</v>
      </c>
    </row>
    <row r="7" spans="2:9">
      <c r="B7" s="26" t="s">
        <v>52</v>
      </c>
      <c r="C7" s="5">
        <f>Inputs!C61</f>
        <v>3937.5</v>
      </c>
      <c r="D7" s="5">
        <f>Inputs!D61</f>
        <v>3938.0250000000001</v>
      </c>
      <c r="E7" s="5">
        <f>Inputs!E61</f>
        <v>3938.55</v>
      </c>
      <c r="F7" s="5">
        <f>Inputs!F61</f>
        <v>3939.0749999999998</v>
      </c>
      <c r="G7" s="5">
        <f>Inputs!G61</f>
        <v>3939.6</v>
      </c>
      <c r="H7" s="5">
        <f>Inputs!H61</f>
        <v>3940.125</v>
      </c>
      <c r="I7" s="5">
        <f>Inputs!I61</f>
        <v>3940.65</v>
      </c>
    </row>
    <row r="8" spans="2:9">
      <c r="B8" s="24" t="s">
        <v>12</v>
      </c>
      <c r="C8" s="12">
        <f>1-(C7/C6)</f>
        <v>0.95</v>
      </c>
      <c r="D8" s="12">
        <f t="shared" ref="D8:I8" si="1">1-(D7/D6)</f>
        <v>0.95</v>
      </c>
      <c r="E8" s="12">
        <f t="shared" si="1"/>
        <v>0.95</v>
      </c>
      <c r="F8" s="12">
        <f t="shared" si="1"/>
        <v>0.95</v>
      </c>
      <c r="G8" s="12">
        <f t="shared" si="1"/>
        <v>0.95</v>
      </c>
      <c r="H8" s="12">
        <f t="shared" si="1"/>
        <v>0.95</v>
      </c>
      <c r="I8" s="12">
        <f t="shared" si="1"/>
        <v>0.95</v>
      </c>
    </row>
    <row r="9" spans="2:9">
      <c r="B9" s="25"/>
    </row>
    <row r="10" spans="2:9">
      <c r="B10" s="32" t="s">
        <v>10</v>
      </c>
      <c r="C10" s="5">
        <f>C6-C7</f>
        <v>74812.5</v>
      </c>
      <c r="D10" s="5">
        <f t="shared" ref="D10:I10" si="2">D6-D7</f>
        <v>74822.475000000006</v>
      </c>
      <c r="E10" s="5">
        <f t="shared" si="2"/>
        <v>74832.45</v>
      </c>
      <c r="F10" s="5">
        <f t="shared" si="2"/>
        <v>74842.425000000003</v>
      </c>
      <c r="G10" s="5">
        <f t="shared" si="2"/>
        <v>74852.399999999994</v>
      </c>
      <c r="H10" s="5">
        <f t="shared" si="2"/>
        <v>74862.375</v>
      </c>
      <c r="I10" s="5">
        <f t="shared" si="2"/>
        <v>74872.350000000006</v>
      </c>
    </row>
    <row r="11" spans="2:9">
      <c r="B11" s="25"/>
    </row>
    <row r="12" spans="2:9">
      <c r="B12" s="25" t="s">
        <v>13</v>
      </c>
    </row>
    <row r="13" spans="2:9">
      <c r="B13" s="26" t="s">
        <v>53</v>
      </c>
      <c r="C13" s="5">
        <f>$H$41/12</f>
        <v>44583.333333333336</v>
      </c>
      <c r="D13" s="5">
        <f t="shared" ref="D13:I13" si="3">$H$41/12</f>
        <v>44583.333333333336</v>
      </c>
      <c r="E13" s="5">
        <f t="shared" si="3"/>
        <v>44583.333333333336</v>
      </c>
      <c r="F13" s="5">
        <f t="shared" si="3"/>
        <v>44583.333333333336</v>
      </c>
      <c r="G13" s="5">
        <f t="shared" si="3"/>
        <v>44583.333333333336</v>
      </c>
      <c r="H13" s="5">
        <f t="shared" si="3"/>
        <v>44583.333333333336</v>
      </c>
      <c r="I13" s="5">
        <f t="shared" si="3"/>
        <v>44583.333333333336</v>
      </c>
    </row>
    <row r="14" spans="2:9">
      <c r="B14" s="28" t="str">
        <f>'Profit and Loss Statement'!D14</f>
        <v>Facility Costs</v>
      </c>
      <c r="C14" s="5">
        <f>$H$42/12</f>
        <v>2083.3333333333335</v>
      </c>
      <c r="D14" s="5">
        <f t="shared" ref="D14:I14" si="4">$H$42/12</f>
        <v>2083.3333333333335</v>
      </c>
      <c r="E14" s="5">
        <f t="shared" si="4"/>
        <v>2083.3333333333335</v>
      </c>
      <c r="F14" s="5">
        <f t="shared" si="4"/>
        <v>2083.3333333333335</v>
      </c>
      <c r="G14" s="5">
        <f t="shared" si="4"/>
        <v>2083.3333333333335</v>
      </c>
      <c r="H14" s="5">
        <f t="shared" si="4"/>
        <v>2083.3333333333335</v>
      </c>
      <c r="I14" s="5">
        <f t="shared" si="4"/>
        <v>2083.3333333333335</v>
      </c>
    </row>
    <row r="15" spans="2:9">
      <c r="B15" s="28" t="str">
        <f>'Profit and Loss Statement'!D15</f>
        <v>General and Administrative</v>
      </c>
      <c r="C15" s="5">
        <f>$H$43/12</f>
        <v>1237.281675</v>
      </c>
      <c r="D15" s="5">
        <f t="shared" ref="D15:I15" si="5">$H$43/12</f>
        <v>1237.281675</v>
      </c>
      <c r="E15" s="5">
        <f t="shared" si="5"/>
        <v>1237.281675</v>
      </c>
      <c r="F15" s="5">
        <f t="shared" si="5"/>
        <v>1237.281675</v>
      </c>
      <c r="G15" s="5">
        <f t="shared" si="5"/>
        <v>1237.281675</v>
      </c>
      <c r="H15" s="5">
        <f t="shared" si="5"/>
        <v>1237.281675</v>
      </c>
      <c r="I15" s="5">
        <f t="shared" si="5"/>
        <v>1237.281675</v>
      </c>
    </row>
    <row r="16" spans="2:9">
      <c r="B16" s="28" t="str">
        <f>'Profit and Loss Statement'!D16</f>
        <v>Equipment Costs</v>
      </c>
      <c r="C16" s="5">
        <f>$H$44/12</f>
        <v>1197.8778</v>
      </c>
      <c r="D16" s="5">
        <f t="shared" ref="D16:I16" si="6">$H$44/12</f>
        <v>1197.8778</v>
      </c>
      <c r="E16" s="5">
        <f t="shared" si="6"/>
        <v>1197.8778</v>
      </c>
      <c r="F16" s="5">
        <f t="shared" si="6"/>
        <v>1197.8778</v>
      </c>
      <c r="G16" s="5">
        <f t="shared" si="6"/>
        <v>1197.8778</v>
      </c>
      <c r="H16" s="5">
        <f t="shared" si="6"/>
        <v>1197.8778</v>
      </c>
      <c r="I16" s="5">
        <f t="shared" si="6"/>
        <v>1197.8778</v>
      </c>
    </row>
    <row r="17" spans="2:9">
      <c r="B17" s="28" t="str">
        <f>'Profit and Loss Statement'!D17</f>
        <v>Insurance Costs</v>
      </c>
      <c r="C17" s="5">
        <f>$H$45/12</f>
        <v>2675</v>
      </c>
      <c r="D17" s="5">
        <f t="shared" ref="D17:I17" si="7">$H$45/12</f>
        <v>2675</v>
      </c>
      <c r="E17" s="5">
        <f t="shared" si="7"/>
        <v>2675</v>
      </c>
      <c r="F17" s="5">
        <f t="shared" si="7"/>
        <v>2675</v>
      </c>
      <c r="G17" s="5">
        <f t="shared" si="7"/>
        <v>2675</v>
      </c>
      <c r="H17" s="5">
        <f t="shared" si="7"/>
        <v>2675</v>
      </c>
      <c r="I17" s="5">
        <f t="shared" si="7"/>
        <v>2675</v>
      </c>
    </row>
    <row r="18" spans="2:9">
      <c r="B18" s="28" t="str">
        <f>'Profit and Loss Statement'!D18</f>
        <v>Marketing</v>
      </c>
      <c r="C18" s="5">
        <f>$H$46/12</f>
        <v>945.6930000000001</v>
      </c>
      <c r="D18" s="5">
        <f t="shared" ref="D18:I18" si="8">$H$46/12</f>
        <v>945.6930000000001</v>
      </c>
      <c r="E18" s="5">
        <f t="shared" si="8"/>
        <v>945.6930000000001</v>
      </c>
      <c r="F18" s="5">
        <f t="shared" si="8"/>
        <v>945.6930000000001</v>
      </c>
      <c r="G18" s="5">
        <f t="shared" si="8"/>
        <v>945.6930000000001</v>
      </c>
      <c r="H18" s="5">
        <f t="shared" si="8"/>
        <v>945.6930000000001</v>
      </c>
      <c r="I18" s="5">
        <f t="shared" si="8"/>
        <v>945.6930000000001</v>
      </c>
    </row>
    <row r="19" spans="2:9">
      <c r="B19" s="28" t="str">
        <f>'Profit and Loss Statement'!D19</f>
        <v>Professional Fees and Licensure</v>
      </c>
      <c r="C19" s="5">
        <f>$H$47/12</f>
        <v>416.66666666666669</v>
      </c>
      <c r="D19" s="5">
        <f t="shared" ref="D19:I19" si="9">$H$47/12</f>
        <v>416.66666666666669</v>
      </c>
      <c r="E19" s="5">
        <f t="shared" si="9"/>
        <v>416.66666666666669</v>
      </c>
      <c r="F19" s="5">
        <f t="shared" si="9"/>
        <v>416.66666666666669</v>
      </c>
      <c r="G19" s="5">
        <f t="shared" si="9"/>
        <v>416.66666666666669</v>
      </c>
      <c r="H19" s="5">
        <f t="shared" si="9"/>
        <v>416.66666666666669</v>
      </c>
      <c r="I19" s="5">
        <f t="shared" si="9"/>
        <v>416.66666666666669</v>
      </c>
    </row>
    <row r="20" spans="2:9">
      <c r="B20" s="24" t="s">
        <v>14</v>
      </c>
      <c r="C20" s="5">
        <f>$H$48/12</f>
        <v>3410.625</v>
      </c>
      <c r="D20" s="5">
        <f t="shared" ref="D20:I20" si="10">$H$48/12</f>
        <v>3410.625</v>
      </c>
      <c r="E20" s="5">
        <f t="shared" si="10"/>
        <v>3410.625</v>
      </c>
      <c r="F20" s="5">
        <f t="shared" si="10"/>
        <v>3410.625</v>
      </c>
      <c r="G20" s="5">
        <f t="shared" si="10"/>
        <v>3410.625</v>
      </c>
      <c r="H20" s="5">
        <f t="shared" si="10"/>
        <v>3410.625</v>
      </c>
      <c r="I20" s="5">
        <f t="shared" si="10"/>
        <v>3410.625</v>
      </c>
    </row>
    <row r="21" spans="2:9">
      <c r="B21" s="23" t="s">
        <v>8</v>
      </c>
      <c r="C21" s="5">
        <f>SUM(C13:C20)</f>
        <v>56549.810808333335</v>
      </c>
      <c r="D21" s="5">
        <f t="shared" ref="D21:I21" si="11">SUM(D13:D20)</f>
        <v>56549.810808333335</v>
      </c>
      <c r="E21" s="5">
        <f t="shared" si="11"/>
        <v>56549.810808333335</v>
      </c>
      <c r="F21" s="5">
        <f t="shared" si="11"/>
        <v>56549.810808333335</v>
      </c>
      <c r="G21" s="5">
        <f t="shared" si="11"/>
        <v>56549.810808333335</v>
      </c>
      <c r="H21" s="5">
        <f t="shared" si="11"/>
        <v>56549.810808333335</v>
      </c>
      <c r="I21" s="5">
        <f t="shared" si="11"/>
        <v>56549.810808333335</v>
      </c>
    </row>
    <row r="22" spans="2:9">
      <c r="B22" s="25"/>
    </row>
    <row r="23" spans="2:9">
      <c r="B23" s="19" t="s">
        <v>47</v>
      </c>
      <c r="C23" s="20">
        <f>C10-C21</f>
        <v>18262.689191666665</v>
      </c>
      <c r="D23" s="20">
        <f t="shared" ref="D23:I23" si="12">D10-D21</f>
        <v>18272.66419166667</v>
      </c>
      <c r="E23" s="20">
        <f t="shared" si="12"/>
        <v>18282.639191666662</v>
      </c>
      <c r="F23" s="20">
        <f t="shared" si="12"/>
        <v>18292.614191666667</v>
      </c>
      <c r="G23" s="20">
        <f t="shared" si="12"/>
        <v>18302.589191666659</v>
      </c>
      <c r="H23" s="20">
        <f t="shared" si="12"/>
        <v>18312.564191666665</v>
      </c>
      <c r="I23" s="20">
        <f t="shared" si="12"/>
        <v>18322.53919166667</v>
      </c>
    </row>
    <row r="24" spans="2:9">
      <c r="B24" s="24" t="s">
        <v>15</v>
      </c>
      <c r="C24" s="5">
        <f>(C6/$H$34)*$H$52</f>
        <v>3809.0060672684535</v>
      </c>
      <c r="D24" s="5">
        <f t="shared" ref="D24:I24" si="13">(D6/$H$34)*$H$52</f>
        <v>3809.51393474409</v>
      </c>
      <c r="E24" s="5">
        <f t="shared" si="13"/>
        <v>3810.0218022197255</v>
      </c>
      <c r="F24" s="5">
        <f t="shared" si="13"/>
        <v>3810.5296696953615</v>
      </c>
      <c r="G24" s="5">
        <f t="shared" si="13"/>
        <v>3811.037537170997</v>
      </c>
      <c r="H24" s="5">
        <f t="shared" si="13"/>
        <v>3811.545404646633</v>
      </c>
      <c r="I24" s="5">
        <f t="shared" si="13"/>
        <v>3812.0532721222685</v>
      </c>
    </row>
    <row r="25" spans="2:9">
      <c r="B25" s="24" t="s">
        <v>102</v>
      </c>
      <c r="C25" s="5">
        <f>(C6/$H$34)*$H$53</f>
        <v>761.80121345369082</v>
      </c>
      <c r="D25" s="5">
        <f t="shared" ref="D25:I25" si="14">(D6/$H$34)*$H$53</f>
        <v>761.90278694881806</v>
      </c>
      <c r="E25" s="5">
        <f t="shared" si="14"/>
        <v>762.00436044394519</v>
      </c>
      <c r="F25" s="5">
        <f t="shared" si="14"/>
        <v>762.10593393907232</v>
      </c>
      <c r="G25" s="5">
        <f t="shared" si="14"/>
        <v>762.20750743419944</v>
      </c>
      <c r="H25" s="5">
        <f t="shared" si="14"/>
        <v>762.30908092932657</v>
      </c>
      <c r="I25" s="5">
        <f t="shared" si="14"/>
        <v>762.4106544244537</v>
      </c>
    </row>
    <row r="26" spans="2:9">
      <c r="B26" s="24" t="s">
        <v>16</v>
      </c>
      <c r="C26" s="5">
        <f>'Loan Amortization Table'!D14</f>
        <v>1875</v>
      </c>
      <c r="D26" s="5">
        <f>'Loan Amortization Table'!D15</f>
        <v>1865.3107924218282</v>
      </c>
      <c r="E26" s="5">
        <f>'Loan Amortization Table'!D16</f>
        <v>1855.5489157868201</v>
      </c>
      <c r="F26" s="5">
        <f>'Loan Amortization Table'!D17</f>
        <v>1845.7138250770495</v>
      </c>
      <c r="G26" s="5">
        <f>'Loan Amortization Table'!D18</f>
        <v>1835.8049711869558</v>
      </c>
      <c r="H26" s="5">
        <f>'Loan Amortization Table'!D19</f>
        <v>1825.821800892686</v>
      </c>
      <c r="I26" s="5">
        <f>'Loan Amortization Table'!D20</f>
        <v>1815.7637568212094</v>
      </c>
    </row>
    <row r="27" spans="2:9">
      <c r="B27" s="24" t="s">
        <v>54</v>
      </c>
      <c r="C27" s="5">
        <f>$H$55/12</f>
        <v>1250</v>
      </c>
      <c r="D27" s="5">
        <f t="shared" ref="D27:I27" si="15">$H$55/12</f>
        <v>1250</v>
      </c>
      <c r="E27" s="5">
        <f t="shared" si="15"/>
        <v>1250</v>
      </c>
      <c r="F27" s="5">
        <f t="shared" si="15"/>
        <v>1250</v>
      </c>
      <c r="G27" s="5">
        <f t="shared" si="15"/>
        <v>1250</v>
      </c>
      <c r="H27" s="5">
        <f t="shared" si="15"/>
        <v>1250</v>
      </c>
      <c r="I27" s="5">
        <f t="shared" si="15"/>
        <v>1250</v>
      </c>
    </row>
    <row r="28" spans="2:9">
      <c r="B28" s="33" t="s">
        <v>17</v>
      </c>
      <c r="C28" s="34">
        <f>C23-SUM(C24:C27)</f>
        <v>10566.881910944521</v>
      </c>
      <c r="D28" s="34">
        <f t="shared" ref="D28:I28" si="16">D23-SUM(D24:D27)</f>
        <v>10585.936677551934</v>
      </c>
      <c r="E28" s="34">
        <f t="shared" si="16"/>
        <v>10605.064113216171</v>
      </c>
      <c r="F28" s="34">
        <f t="shared" si="16"/>
        <v>10624.264762955183</v>
      </c>
      <c r="G28" s="34">
        <f t="shared" si="16"/>
        <v>10643.539175874506</v>
      </c>
      <c r="H28" s="34">
        <f t="shared" si="16"/>
        <v>10662.887905198018</v>
      </c>
      <c r="I28" s="34">
        <f t="shared" si="16"/>
        <v>10682.311508298739</v>
      </c>
    </row>
    <row r="32" spans="2:9">
      <c r="B32" s="6" t="s">
        <v>65</v>
      </c>
      <c r="C32" s="3"/>
      <c r="D32" s="3"/>
      <c r="E32" s="3"/>
      <c r="F32" s="3"/>
      <c r="G32" s="3"/>
      <c r="H32" s="3"/>
    </row>
    <row r="33" spans="2:8">
      <c r="B33" s="8" t="s">
        <v>5</v>
      </c>
      <c r="C33" s="7">
        <f>I5+1</f>
        <v>8</v>
      </c>
      <c r="D33" s="7">
        <f>C33+1</f>
        <v>9</v>
      </c>
      <c r="E33" s="7">
        <f t="shared" ref="E33:G33" si="17">D33+1</f>
        <v>10</v>
      </c>
      <c r="F33" s="7">
        <f t="shared" si="17"/>
        <v>11</v>
      </c>
      <c r="G33" s="7">
        <f t="shared" si="17"/>
        <v>12</v>
      </c>
      <c r="H33" s="7" t="s">
        <v>2</v>
      </c>
    </row>
    <row r="34" spans="2:8">
      <c r="B34" s="32" t="s">
        <v>51</v>
      </c>
      <c r="C34" s="5">
        <f>Inputs!J42</f>
        <v>78823.5</v>
      </c>
      <c r="D34" s="5">
        <f>Inputs!K42</f>
        <v>78834</v>
      </c>
      <c r="E34" s="5">
        <f>Inputs!L42</f>
        <v>78844.5</v>
      </c>
      <c r="F34" s="5">
        <f>Inputs!M42</f>
        <v>78855</v>
      </c>
      <c r="G34" s="5">
        <f>Inputs!N42</f>
        <v>78865.5</v>
      </c>
      <c r="H34" s="5">
        <f>'Profit and Loss Statement'!E6</f>
        <v>945693</v>
      </c>
    </row>
    <row r="35" spans="2:8">
      <c r="B35" s="26" t="s">
        <v>52</v>
      </c>
      <c r="C35" s="5">
        <f>Inputs!J61</f>
        <v>3941.1750000000002</v>
      </c>
      <c r="D35" s="5">
        <f>Inputs!K61</f>
        <v>3941.7</v>
      </c>
      <c r="E35" s="5">
        <f>Inputs!L61</f>
        <v>3942.2249999999999</v>
      </c>
      <c r="F35" s="5">
        <f>Inputs!M61</f>
        <v>3942.75</v>
      </c>
      <c r="G35" s="5">
        <f>Inputs!N61</f>
        <v>3943.2750000000001</v>
      </c>
      <c r="H35" s="5">
        <f>'Profit and Loss Statement'!E7</f>
        <v>47284.65</v>
      </c>
    </row>
    <row r="36" spans="2:8">
      <c r="B36" s="24" t="s">
        <v>12</v>
      </c>
      <c r="C36" s="12">
        <f>1-(C35/C34)</f>
        <v>0.95</v>
      </c>
      <c r="D36" s="12">
        <f t="shared" ref="D36:H36" si="18">1-(D35/D34)</f>
        <v>0.95</v>
      </c>
      <c r="E36" s="12">
        <f t="shared" si="18"/>
        <v>0.95</v>
      </c>
      <c r="F36" s="12">
        <f t="shared" si="18"/>
        <v>0.95</v>
      </c>
      <c r="G36" s="12">
        <f t="shared" si="18"/>
        <v>0.95</v>
      </c>
      <c r="H36" s="12">
        <f t="shared" si="18"/>
        <v>0.95</v>
      </c>
    </row>
    <row r="37" spans="2:8">
      <c r="B37" s="25"/>
    </row>
    <row r="38" spans="2:8">
      <c r="B38" s="32" t="s">
        <v>10</v>
      </c>
      <c r="C38" s="5">
        <f>C34-C35</f>
        <v>74882.324999999997</v>
      </c>
      <c r="D38" s="5">
        <f t="shared" ref="D38:H38" si="19">D34-D35</f>
        <v>74892.3</v>
      </c>
      <c r="E38" s="5">
        <f t="shared" si="19"/>
        <v>74902.274999999994</v>
      </c>
      <c r="F38" s="5">
        <f t="shared" si="19"/>
        <v>74912.25</v>
      </c>
      <c r="G38" s="5">
        <f t="shared" si="19"/>
        <v>74922.225000000006</v>
      </c>
      <c r="H38" s="5">
        <f t="shared" si="19"/>
        <v>898408.35</v>
      </c>
    </row>
    <row r="39" spans="2:8">
      <c r="B39" s="25"/>
    </row>
    <row r="40" spans="2:8">
      <c r="B40" s="25" t="s">
        <v>13</v>
      </c>
      <c r="C40" s="2"/>
    </row>
    <row r="41" spans="2:8">
      <c r="B41" s="26" t="s">
        <v>53</v>
      </c>
      <c r="C41" s="5">
        <f>$H$41/12</f>
        <v>44583.333333333336</v>
      </c>
      <c r="D41" s="5">
        <f t="shared" ref="D41:G41" si="20">$H$41/12</f>
        <v>44583.333333333336</v>
      </c>
      <c r="E41" s="5">
        <f t="shared" si="20"/>
        <v>44583.333333333336</v>
      </c>
      <c r="F41" s="5">
        <f t="shared" si="20"/>
        <v>44583.333333333336</v>
      </c>
      <c r="G41" s="5">
        <f t="shared" si="20"/>
        <v>44583.333333333336</v>
      </c>
      <c r="H41" s="5">
        <f>'Profit and Loss Statement'!E13</f>
        <v>535000</v>
      </c>
    </row>
    <row r="42" spans="2:8">
      <c r="B42" s="28" t="str">
        <f>B14</f>
        <v>Facility Costs</v>
      </c>
      <c r="C42" s="5">
        <f>$H$42/12</f>
        <v>2083.3333333333335</v>
      </c>
      <c r="D42" s="5">
        <f t="shared" ref="D42:G42" si="21">$H$42/12</f>
        <v>2083.3333333333335</v>
      </c>
      <c r="E42" s="5">
        <f t="shared" si="21"/>
        <v>2083.3333333333335</v>
      </c>
      <c r="F42" s="5">
        <f t="shared" si="21"/>
        <v>2083.3333333333335</v>
      </c>
      <c r="G42" s="5">
        <f t="shared" si="21"/>
        <v>2083.3333333333335</v>
      </c>
      <c r="H42" s="5">
        <f>'Profit and Loss Statement'!E14</f>
        <v>25000</v>
      </c>
    </row>
    <row r="43" spans="2:8">
      <c r="B43" s="28" t="str">
        <f t="shared" ref="B43:B47" si="22">B15</f>
        <v>General and Administrative</v>
      </c>
      <c r="C43" s="5">
        <f>$H$43/12</f>
        <v>1237.281675</v>
      </c>
      <c r="D43" s="5">
        <f t="shared" ref="D43:G43" si="23">$H$43/12</f>
        <v>1237.281675</v>
      </c>
      <c r="E43" s="5">
        <f t="shared" si="23"/>
        <v>1237.281675</v>
      </c>
      <c r="F43" s="5">
        <f t="shared" si="23"/>
        <v>1237.281675</v>
      </c>
      <c r="G43" s="5">
        <f t="shared" si="23"/>
        <v>1237.281675</v>
      </c>
      <c r="H43" s="5">
        <f>'Profit and Loss Statement'!E15</f>
        <v>14847.380099999998</v>
      </c>
    </row>
    <row r="44" spans="2:8">
      <c r="B44" s="28" t="str">
        <f t="shared" si="22"/>
        <v>Equipment Costs</v>
      </c>
      <c r="C44" s="5">
        <f>$H$44/12</f>
        <v>1197.8778</v>
      </c>
      <c r="D44" s="5">
        <f t="shared" ref="D44:G44" si="24">$H$44/12</f>
        <v>1197.8778</v>
      </c>
      <c r="E44" s="5">
        <f t="shared" si="24"/>
        <v>1197.8778</v>
      </c>
      <c r="F44" s="5">
        <f t="shared" si="24"/>
        <v>1197.8778</v>
      </c>
      <c r="G44" s="5">
        <f t="shared" si="24"/>
        <v>1197.8778</v>
      </c>
      <c r="H44" s="5">
        <f>'Profit and Loss Statement'!E16</f>
        <v>14374.533600000001</v>
      </c>
    </row>
    <row r="45" spans="2:8">
      <c r="B45" s="28" t="str">
        <f t="shared" si="22"/>
        <v>Insurance Costs</v>
      </c>
      <c r="C45" s="5">
        <f>$H$45/12</f>
        <v>2675</v>
      </c>
      <c r="D45" s="5">
        <f t="shared" ref="D45:G45" si="25">$H$45/12</f>
        <v>2675</v>
      </c>
      <c r="E45" s="5">
        <f t="shared" si="25"/>
        <v>2675</v>
      </c>
      <c r="F45" s="5">
        <f t="shared" si="25"/>
        <v>2675</v>
      </c>
      <c r="G45" s="5">
        <f t="shared" si="25"/>
        <v>2675</v>
      </c>
      <c r="H45" s="5">
        <f>'Profit and Loss Statement'!E17</f>
        <v>32100</v>
      </c>
    </row>
    <row r="46" spans="2:8">
      <c r="B46" s="28" t="str">
        <f t="shared" si="22"/>
        <v>Marketing</v>
      </c>
      <c r="C46" s="5">
        <f>$H$46/12</f>
        <v>945.6930000000001</v>
      </c>
      <c r="D46" s="5">
        <f t="shared" ref="D46:G46" si="26">$H$46/12</f>
        <v>945.6930000000001</v>
      </c>
      <c r="E46" s="5">
        <f t="shared" si="26"/>
        <v>945.6930000000001</v>
      </c>
      <c r="F46" s="5">
        <f t="shared" si="26"/>
        <v>945.6930000000001</v>
      </c>
      <c r="G46" s="5">
        <f t="shared" si="26"/>
        <v>945.6930000000001</v>
      </c>
      <c r="H46" s="5">
        <f>'Profit and Loss Statement'!E18</f>
        <v>11348.316000000001</v>
      </c>
    </row>
    <row r="47" spans="2:8">
      <c r="B47" s="28" t="str">
        <f t="shared" si="22"/>
        <v>Professional Fees and Licensure</v>
      </c>
      <c r="C47" s="5">
        <f>$H$47/12</f>
        <v>416.66666666666669</v>
      </c>
      <c r="D47" s="5">
        <f t="shared" ref="D47:G47" si="27">$H$47/12</f>
        <v>416.66666666666669</v>
      </c>
      <c r="E47" s="5">
        <f t="shared" si="27"/>
        <v>416.66666666666669</v>
      </c>
      <c r="F47" s="5">
        <f t="shared" si="27"/>
        <v>416.66666666666669</v>
      </c>
      <c r="G47" s="5">
        <f t="shared" si="27"/>
        <v>416.66666666666669</v>
      </c>
      <c r="H47" s="5">
        <f>'Profit and Loss Statement'!E19</f>
        <v>5000</v>
      </c>
    </row>
    <row r="48" spans="2:8">
      <c r="B48" s="24" t="s">
        <v>14</v>
      </c>
      <c r="C48" s="5">
        <f>$H$48/12</f>
        <v>3410.625</v>
      </c>
      <c r="D48" s="5">
        <f t="shared" ref="D48:G48" si="28">$H$48/12</f>
        <v>3410.625</v>
      </c>
      <c r="E48" s="5">
        <f t="shared" si="28"/>
        <v>3410.625</v>
      </c>
      <c r="F48" s="5">
        <f t="shared" si="28"/>
        <v>3410.625</v>
      </c>
      <c r="G48" s="5">
        <f t="shared" si="28"/>
        <v>3410.625</v>
      </c>
      <c r="H48" s="5">
        <f>'Profit and Loss Statement'!E20</f>
        <v>40927.5</v>
      </c>
    </row>
    <row r="49" spans="2:15">
      <c r="B49" s="23" t="s">
        <v>8</v>
      </c>
      <c r="C49" s="5">
        <f>SUM(C41:C48)</f>
        <v>56549.810808333335</v>
      </c>
      <c r="D49" s="5">
        <f t="shared" ref="D49:G49" si="29">SUM(D41:D48)</f>
        <v>56549.810808333335</v>
      </c>
      <c r="E49" s="5">
        <f t="shared" si="29"/>
        <v>56549.810808333335</v>
      </c>
      <c r="F49" s="5">
        <f t="shared" si="29"/>
        <v>56549.810808333335</v>
      </c>
      <c r="G49" s="5">
        <f t="shared" si="29"/>
        <v>56549.810808333335</v>
      </c>
      <c r="H49" s="5">
        <f>'Profit and Loss Statement'!E21</f>
        <v>678597.72969999991</v>
      </c>
    </row>
    <row r="50" spans="2:15">
      <c r="B50" s="25"/>
    </row>
    <row r="51" spans="2:15">
      <c r="B51" s="19" t="s">
        <v>47</v>
      </c>
      <c r="C51" s="20">
        <f>C38-C49</f>
        <v>18332.514191666662</v>
      </c>
      <c r="D51" s="20">
        <f t="shared" ref="D51:H51" si="30">D38-D49</f>
        <v>18342.489191666667</v>
      </c>
      <c r="E51" s="20">
        <f t="shared" si="30"/>
        <v>18352.464191666659</v>
      </c>
      <c r="F51" s="20">
        <f t="shared" si="30"/>
        <v>18362.439191666665</v>
      </c>
      <c r="G51" s="20">
        <f t="shared" si="30"/>
        <v>18372.41419166667</v>
      </c>
      <c r="H51" s="20">
        <f t="shared" si="30"/>
        <v>219810.62030000007</v>
      </c>
    </row>
    <row r="52" spans="2:15">
      <c r="B52" s="24" t="s">
        <v>15</v>
      </c>
      <c r="C52" s="5">
        <f>(C34/$H$34)*$H$52</f>
        <v>3812.5611395979049</v>
      </c>
      <c r="D52" s="5">
        <f t="shared" ref="D52:G52" si="31">(D34/$H$34)*$H$52</f>
        <v>3813.0690070735404</v>
      </c>
      <c r="E52" s="5">
        <f t="shared" si="31"/>
        <v>3813.576874549176</v>
      </c>
      <c r="F52" s="5">
        <f t="shared" si="31"/>
        <v>3814.0847420248119</v>
      </c>
      <c r="G52" s="5">
        <f t="shared" si="31"/>
        <v>3814.5926095004475</v>
      </c>
      <c r="H52" s="5">
        <f>'Profit and Loss Statement'!E24</f>
        <v>45741.59206061341</v>
      </c>
    </row>
    <row r="53" spans="2:15">
      <c r="B53" s="24" t="s">
        <v>102</v>
      </c>
      <c r="C53" s="5">
        <f>(C34/$H$34)*$H$53</f>
        <v>762.51222791958094</v>
      </c>
      <c r="D53" s="5">
        <f t="shared" ref="D53:G53" si="32">(D34/$H$34)*$H$53</f>
        <v>762.61380141470806</v>
      </c>
      <c r="E53" s="5">
        <f t="shared" si="32"/>
        <v>762.7153749098353</v>
      </c>
      <c r="F53" s="5">
        <f t="shared" si="32"/>
        <v>762.81694840496243</v>
      </c>
      <c r="G53" s="5">
        <f t="shared" si="32"/>
        <v>762.91852190008956</v>
      </c>
      <c r="H53" s="5">
        <f>'Profit and Loss Statement'!E25</f>
        <v>9148.3184121226823</v>
      </c>
    </row>
    <row r="54" spans="2:15">
      <c r="B54" s="24" t="s">
        <v>16</v>
      </c>
      <c r="C54" s="5">
        <f>'Loan Amortization Table'!D21</f>
        <v>1805.6302774191965</v>
      </c>
      <c r="D54" s="5">
        <f>'Loan Amortization Table'!D22</f>
        <v>1795.4207969216689</v>
      </c>
      <c r="E54" s="5">
        <f>'Loan Amortization Table'!D23</f>
        <v>1785.1347453204094</v>
      </c>
      <c r="F54" s="5">
        <f>'Loan Amortization Table'!D24</f>
        <v>1774.7715483321406</v>
      </c>
      <c r="G54" s="5">
        <f>'Loan Amortization Table'!D25</f>
        <v>1764.3306273664598</v>
      </c>
      <c r="H54" s="5">
        <f>'Profit and Loss Statement'!E26</f>
        <v>21844.252057546426</v>
      </c>
    </row>
    <row r="55" spans="2:15">
      <c r="B55" s="24" t="s">
        <v>54</v>
      </c>
      <c r="C55" s="5">
        <f>$H$55/12</f>
        <v>1250</v>
      </c>
      <c r="D55" s="5">
        <f t="shared" ref="D55:G55" si="33">$H$55/12</f>
        <v>1250</v>
      </c>
      <c r="E55" s="5">
        <f t="shared" si="33"/>
        <v>1250</v>
      </c>
      <c r="F55" s="5">
        <f t="shared" si="33"/>
        <v>1250</v>
      </c>
      <c r="G55" s="5">
        <f t="shared" si="33"/>
        <v>1250</v>
      </c>
      <c r="H55" s="5">
        <f>'Profit and Loss Statement'!E27</f>
        <v>15000</v>
      </c>
    </row>
    <row r="56" spans="2:15">
      <c r="B56" s="33" t="s">
        <v>17</v>
      </c>
      <c r="C56" s="34">
        <f>C51-SUM(C52:C55)</f>
        <v>10701.810546729979</v>
      </c>
      <c r="D56" s="34">
        <f t="shared" ref="D56:G56" si="34">D51-SUM(D52:D55)</f>
        <v>10721.385586256751</v>
      </c>
      <c r="E56" s="34">
        <f t="shared" si="34"/>
        <v>10741.037196887239</v>
      </c>
      <c r="F56" s="34">
        <f t="shared" si="34"/>
        <v>10760.765952904749</v>
      </c>
      <c r="G56" s="34">
        <f t="shared" si="34"/>
        <v>10780.572432899673</v>
      </c>
      <c r="H56" s="34">
        <f>'Profit and Loss Statement'!E28</f>
        <v>128076.45776971756</v>
      </c>
    </row>
    <row r="60" spans="2:15">
      <c r="B60" s="6" t="s">
        <v>65</v>
      </c>
      <c r="C60" s="3"/>
      <c r="D60" s="3"/>
      <c r="E60" s="3"/>
      <c r="F60" s="3"/>
      <c r="G60" s="3"/>
      <c r="K60" s="6" t="s">
        <v>3</v>
      </c>
      <c r="L60" s="3"/>
      <c r="M60" s="3"/>
      <c r="N60" s="3"/>
      <c r="O60" s="3"/>
    </row>
    <row r="61" spans="2:15">
      <c r="B61" s="8" t="s">
        <v>74</v>
      </c>
      <c r="C61" s="7">
        <v>1</v>
      </c>
      <c r="D61" s="7">
        <f>C61+1</f>
        <v>2</v>
      </c>
      <c r="E61" s="7">
        <f t="shared" ref="E61:F61" si="35">D61+1</f>
        <v>3</v>
      </c>
      <c r="F61" s="7">
        <f t="shared" si="35"/>
        <v>4</v>
      </c>
      <c r="G61" s="7" t="s">
        <v>3</v>
      </c>
      <c r="K61" s="105" t="s">
        <v>74</v>
      </c>
      <c r="L61" s="7">
        <v>1</v>
      </c>
      <c r="M61" s="7">
        <f>L61+1</f>
        <v>2</v>
      </c>
      <c r="N61" s="7">
        <f t="shared" ref="N61" si="36">M61+1</f>
        <v>3</v>
      </c>
      <c r="O61" s="7">
        <f t="shared" ref="O61" si="37">N61+1</f>
        <v>4</v>
      </c>
    </row>
    <row r="62" spans="2:15">
      <c r="B62" s="32" t="s">
        <v>51</v>
      </c>
      <c r="C62" s="5">
        <f>$G$62*L62</f>
        <v>252972.87750000003</v>
      </c>
      <c r="D62" s="5">
        <f t="shared" ref="D62:F62" si="38">$G$62*M62</f>
        <v>252972.87750000003</v>
      </c>
      <c r="E62" s="5">
        <f t="shared" si="38"/>
        <v>252972.87750000003</v>
      </c>
      <c r="F62" s="5">
        <f t="shared" si="38"/>
        <v>252972.87750000003</v>
      </c>
      <c r="G62" s="5">
        <f>'Profit and Loss Statement'!F6</f>
        <v>1011891.5100000001</v>
      </c>
      <c r="K62" s="4" t="s">
        <v>114</v>
      </c>
      <c r="L62" s="102">
        <v>0.25</v>
      </c>
      <c r="M62" s="102">
        <v>0.25</v>
      </c>
      <c r="N62" s="102">
        <v>0.25</v>
      </c>
      <c r="O62" s="102">
        <v>0.25</v>
      </c>
    </row>
    <row r="63" spans="2:15">
      <c r="B63" s="26" t="s">
        <v>52</v>
      </c>
      <c r="C63" s="5">
        <f>$G$63*L62</f>
        <v>12648.643875000002</v>
      </c>
      <c r="D63" s="5">
        <f t="shared" ref="D63:F63" si="39">$G$63*M62</f>
        <v>12648.643875000002</v>
      </c>
      <c r="E63" s="5">
        <f t="shared" si="39"/>
        <v>12648.643875000002</v>
      </c>
      <c r="F63" s="5">
        <f t="shared" si="39"/>
        <v>12648.643875000002</v>
      </c>
      <c r="G63" s="5">
        <f>'Profit and Loss Statement'!F7</f>
        <v>50594.575500000006</v>
      </c>
    </row>
    <row r="64" spans="2:15">
      <c r="B64" s="24" t="s">
        <v>12</v>
      </c>
      <c r="C64" s="12">
        <f>1-(C63/C62)</f>
        <v>0.95</v>
      </c>
      <c r="D64" s="12">
        <f t="shared" ref="D64" si="40">1-(D63/D62)</f>
        <v>0.95</v>
      </c>
      <c r="E64" s="12">
        <f t="shared" ref="E64" si="41">1-(E63/E62)</f>
        <v>0.95</v>
      </c>
      <c r="F64" s="12">
        <f t="shared" ref="F64:G64" si="42">1-(F63/F62)</f>
        <v>0.95</v>
      </c>
      <c r="G64" s="12">
        <f t="shared" si="42"/>
        <v>0.95</v>
      </c>
    </row>
    <row r="65" spans="2:7">
      <c r="B65" s="25"/>
    </row>
    <row r="66" spans="2:7">
      <c r="B66" s="32" t="s">
        <v>10</v>
      </c>
      <c r="C66" s="5">
        <f>C62-C63</f>
        <v>240324.23362500002</v>
      </c>
      <c r="D66" s="5">
        <f t="shared" ref="D66:G66" si="43">D62-D63</f>
        <v>240324.23362500002</v>
      </c>
      <c r="E66" s="5">
        <f t="shared" si="43"/>
        <v>240324.23362500002</v>
      </c>
      <c r="F66" s="5">
        <f t="shared" si="43"/>
        <v>240324.23362500002</v>
      </c>
      <c r="G66" s="5">
        <f t="shared" si="43"/>
        <v>961296.93450000009</v>
      </c>
    </row>
    <row r="67" spans="2:7">
      <c r="B67" s="25"/>
    </row>
    <row r="68" spans="2:7">
      <c r="B68" s="25" t="s">
        <v>13</v>
      </c>
    </row>
    <row r="69" spans="2:7">
      <c r="B69" s="26" t="s">
        <v>53</v>
      </c>
      <c r="C69" s="5">
        <f>$G$69/4</f>
        <v>137762.5</v>
      </c>
      <c r="D69" s="5">
        <f t="shared" ref="D69:F69" si="44">$G$69/4</f>
        <v>137762.5</v>
      </c>
      <c r="E69" s="5">
        <f t="shared" si="44"/>
        <v>137762.5</v>
      </c>
      <c r="F69" s="5">
        <f t="shared" si="44"/>
        <v>137762.5</v>
      </c>
      <c r="G69" s="5">
        <f>'Profit and Loss Statement'!F13</f>
        <v>551050</v>
      </c>
    </row>
    <row r="70" spans="2:7">
      <c r="B70" s="28" t="str">
        <f>B42</f>
        <v>Facility Costs</v>
      </c>
      <c r="C70" s="5">
        <f>$G$70/4</f>
        <v>6437.5</v>
      </c>
      <c r="D70" s="5">
        <f t="shared" ref="D70:F70" si="45">$G$70/4</f>
        <v>6437.5</v>
      </c>
      <c r="E70" s="5">
        <f t="shared" si="45"/>
        <v>6437.5</v>
      </c>
      <c r="F70" s="5">
        <f t="shared" si="45"/>
        <v>6437.5</v>
      </c>
      <c r="G70" s="5">
        <f>'Profit and Loss Statement'!F14</f>
        <v>25750</v>
      </c>
    </row>
    <row r="71" spans="2:7">
      <c r="B71" s="28" t="str">
        <f t="shared" ref="B71:B75" si="46">B43</f>
        <v>General and Administrative</v>
      </c>
      <c r="C71" s="5">
        <f>$G$71/4</f>
        <v>3971.6741767500002</v>
      </c>
      <c r="D71" s="5">
        <f t="shared" ref="D71:F71" si="47">$G$71/4</f>
        <v>3971.6741767500002</v>
      </c>
      <c r="E71" s="5">
        <f t="shared" si="47"/>
        <v>3971.6741767500002</v>
      </c>
      <c r="F71" s="5">
        <f t="shared" si="47"/>
        <v>3971.6741767500002</v>
      </c>
      <c r="G71" s="5">
        <f>'Profit and Loss Statement'!F15</f>
        <v>15886.696707000001</v>
      </c>
    </row>
    <row r="72" spans="2:7">
      <c r="B72" s="28" t="str">
        <f t="shared" si="46"/>
        <v>Equipment Costs</v>
      </c>
      <c r="C72" s="5">
        <f>$G$72/4</f>
        <v>3845.1877380000005</v>
      </c>
      <c r="D72" s="5">
        <f t="shared" ref="D72:F72" si="48">$G$72/4</f>
        <v>3845.1877380000005</v>
      </c>
      <c r="E72" s="5">
        <f t="shared" si="48"/>
        <v>3845.1877380000005</v>
      </c>
      <c r="F72" s="5">
        <f t="shared" si="48"/>
        <v>3845.1877380000005</v>
      </c>
      <c r="G72" s="5">
        <f>'Profit and Loss Statement'!F16</f>
        <v>15380.750952000002</v>
      </c>
    </row>
    <row r="73" spans="2:7">
      <c r="B73" s="28" t="str">
        <f t="shared" si="46"/>
        <v>Insurance Costs</v>
      </c>
      <c r="C73" s="5">
        <f>$G$73/4</f>
        <v>8265.75</v>
      </c>
      <c r="D73" s="5">
        <f t="shared" ref="D73:F73" si="49">$G$73/4</f>
        <v>8265.75</v>
      </c>
      <c r="E73" s="5">
        <f t="shared" si="49"/>
        <v>8265.75</v>
      </c>
      <c r="F73" s="5">
        <f t="shared" si="49"/>
        <v>8265.75</v>
      </c>
      <c r="G73" s="5">
        <f>'Profit and Loss Statement'!F17</f>
        <v>33063</v>
      </c>
    </row>
    <row r="74" spans="2:7">
      <c r="B74" s="28" t="str">
        <f t="shared" si="46"/>
        <v>Marketing</v>
      </c>
      <c r="C74" s="5">
        <f>$G$74/4</f>
        <v>3035.6745300000002</v>
      </c>
      <c r="D74" s="5">
        <f t="shared" ref="D74:F74" si="50">$G$74/4</f>
        <v>3035.6745300000002</v>
      </c>
      <c r="E74" s="5">
        <f t="shared" si="50"/>
        <v>3035.6745300000002</v>
      </c>
      <c r="F74" s="5">
        <f t="shared" si="50"/>
        <v>3035.6745300000002</v>
      </c>
      <c r="G74" s="5">
        <f>'Profit and Loss Statement'!F18</f>
        <v>12142.698120000001</v>
      </c>
    </row>
    <row r="75" spans="2:7">
      <c r="B75" s="28" t="str">
        <f t="shared" si="46"/>
        <v>Professional Fees and Licensure</v>
      </c>
      <c r="C75" s="5">
        <f>$G$75/4</f>
        <v>1687.5</v>
      </c>
      <c r="D75" s="5">
        <f t="shared" ref="D75:F75" si="51">$G$75/4</f>
        <v>1687.5</v>
      </c>
      <c r="E75" s="5">
        <f t="shared" si="51"/>
        <v>1687.5</v>
      </c>
      <c r="F75" s="5">
        <f t="shared" si="51"/>
        <v>1687.5</v>
      </c>
      <c r="G75" s="5">
        <f>'Profit and Loss Statement'!F19</f>
        <v>6750</v>
      </c>
    </row>
    <row r="76" spans="2:7">
      <c r="B76" s="24" t="s">
        <v>14</v>
      </c>
      <c r="C76" s="5">
        <f>$G$76/4</f>
        <v>10538.831249999999</v>
      </c>
      <c r="D76" s="5">
        <f t="shared" ref="D76:F76" si="52">$G$76/4</f>
        <v>10538.831249999999</v>
      </c>
      <c r="E76" s="5">
        <f t="shared" si="52"/>
        <v>10538.831249999999</v>
      </c>
      <c r="F76" s="5">
        <f t="shared" si="52"/>
        <v>10538.831249999999</v>
      </c>
      <c r="G76" s="5">
        <f>'Profit and Loss Statement'!F20</f>
        <v>42155.324999999997</v>
      </c>
    </row>
    <row r="77" spans="2:7">
      <c r="B77" s="23" t="s">
        <v>8</v>
      </c>
      <c r="C77" s="5">
        <f>SUM(C69:C76)</f>
        <v>175544.61769474999</v>
      </c>
      <c r="D77" s="5">
        <f t="shared" ref="D77:F77" si="53">SUM(D69:D76)</f>
        <v>175544.61769474999</v>
      </c>
      <c r="E77" s="5">
        <f t="shared" si="53"/>
        <v>175544.61769474999</v>
      </c>
      <c r="F77" s="5">
        <f t="shared" si="53"/>
        <v>175544.61769474999</v>
      </c>
      <c r="G77" s="5">
        <f>SUM(G69:G76)</f>
        <v>702178.47077899997</v>
      </c>
    </row>
    <row r="78" spans="2:7">
      <c r="B78" s="25"/>
    </row>
    <row r="79" spans="2:7">
      <c r="B79" s="19" t="s">
        <v>47</v>
      </c>
      <c r="C79" s="20">
        <f>C66-C77</f>
        <v>64779.615930250031</v>
      </c>
      <c r="D79" s="20">
        <f t="shared" ref="D79:F79" si="54">D66-D77</f>
        <v>64779.615930250031</v>
      </c>
      <c r="E79" s="20">
        <f t="shared" si="54"/>
        <v>64779.615930250031</v>
      </c>
      <c r="F79" s="20">
        <f t="shared" si="54"/>
        <v>64779.615930250031</v>
      </c>
      <c r="G79" s="20">
        <f t="shared" ref="G79" si="55">G66-G77</f>
        <v>259118.46372100012</v>
      </c>
    </row>
    <row r="80" spans="2:7">
      <c r="B80" s="24" t="s">
        <v>15</v>
      </c>
      <c r="C80" s="5">
        <f>$G$80*L62</f>
        <v>13986.874284354184</v>
      </c>
      <c r="D80" s="5">
        <f t="shared" ref="D80:F80" si="56">$G$80*M62</f>
        <v>13986.874284354184</v>
      </c>
      <c r="E80" s="5">
        <f t="shared" si="56"/>
        <v>13986.874284354184</v>
      </c>
      <c r="F80" s="5">
        <f t="shared" si="56"/>
        <v>13986.874284354184</v>
      </c>
      <c r="G80" s="5">
        <f>'Profit and Loss Statement'!F24</f>
        <v>55947.497137416736</v>
      </c>
    </row>
    <row r="81" spans="2:15">
      <c r="B81" s="24" t="s">
        <v>102</v>
      </c>
      <c r="C81" s="5">
        <f>$G$81*L62</f>
        <v>2797.374856870837</v>
      </c>
      <c r="D81" s="5">
        <f t="shared" ref="D81:F81" si="57">$G$81*M62</f>
        <v>2797.374856870837</v>
      </c>
      <c r="E81" s="5">
        <f t="shared" si="57"/>
        <v>2797.374856870837</v>
      </c>
      <c r="F81" s="5">
        <f t="shared" si="57"/>
        <v>2797.374856870837</v>
      </c>
      <c r="G81" s="5">
        <f>'Profit and Loss Statement'!F25</f>
        <v>11189.499427483348</v>
      </c>
    </row>
    <row r="82" spans="2:15">
      <c r="B82" s="24" t="s">
        <v>16</v>
      </c>
      <c r="C82" s="5">
        <f>SUM('Loan Amortization Table'!D26:D28)</f>
        <v>5229.5603463190846</v>
      </c>
      <c r="D82" s="5">
        <f>SUM('Loan Amortization Table'!D29:D31)</f>
        <v>5132.7375320747497</v>
      </c>
      <c r="E82" s="5">
        <f>SUM('Loan Amortization Table'!D32:D34)</f>
        <v>5033.7198248128898</v>
      </c>
      <c r="F82" s="5">
        <f>SUM('Loan Amortization Table'!D35:D37)</f>
        <v>4932.4574681264412</v>
      </c>
      <c r="G82" s="5">
        <f>'Profit and Loss Statement'!F26</f>
        <v>20328.475171333168</v>
      </c>
    </row>
    <row r="83" spans="2:15">
      <c r="B83" s="24" t="s">
        <v>54</v>
      </c>
      <c r="C83" s="5">
        <f>$G$83/4</f>
        <v>3750</v>
      </c>
      <c r="D83" s="5">
        <f t="shared" ref="D83:F83" si="58">$G$83/4</f>
        <v>3750</v>
      </c>
      <c r="E83" s="5">
        <f t="shared" si="58"/>
        <v>3750</v>
      </c>
      <c r="F83" s="5">
        <f t="shared" si="58"/>
        <v>3750</v>
      </c>
      <c r="G83" s="5">
        <f>'Profit and Loss Statement'!F27</f>
        <v>15000</v>
      </c>
    </row>
    <row r="84" spans="2:15">
      <c r="B84" s="33" t="s">
        <v>17</v>
      </c>
      <c r="C84" s="34">
        <f>C79-SUM(C80:C83)</f>
        <v>39015.806442705929</v>
      </c>
      <c r="D84" s="34">
        <f t="shared" ref="D84:F84" si="59">D79-SUM(D80:D83)</f>
        <v>39112.629256950262</v>
      </c>
      <c r="E84" s="34">
        <f t="shared" si="59"/>
        <v>39211.646964212123</v>
      </c>
      <c r="F84" s="34">
        <f t="shared" si="59"/>
        <v>39312.909320898572</v>
      </c>
      <c r="G84" s="34">
        <f>'Profit and Loss Statement'!F28</f>
        <v>156652.99198476688</v>
      </c>
    </row>
    <row r="90" spans="2:15">
      <c r="B90" s="6" t="s">
        <v>65</v>
      </c>
      <c r="C90" s="3"/>
      <c r="D90" s="3"/>
      <c r="E90" s="3"/>
      <c r="F90" s="3"/>
      <c r="G90" s="3"/>
      <c r="K90" s="6" t="s">
        <v>4</v>
      </c>
      <c r="L90" s="3"/>
      <c r="M90" s="3"/>
      <c r="N90" s="3"/>
      <c r="O90" s="3"/>
    </row>
    <row r="91" spans="2:15">
      <c r="B91" s="8" t="s">
        <v>74</v>
      </c>
      <c r="C91" s="7">
        <v>1</v>
      </c>
      <c r="D91" s="7">
        <f>C91+1</f>
        <v>2</v>
      </c>
      <c r="E91" s="7">
        <f t="shared" ref="E91" si="60">D91+1</f>
        <v>3</v>
      </c>
      <c r="F91" s="7">
        <f t="shared" ref="F91" si="61">E91+1</f>
        <v>4</v>
      </c>
      <c r="G91" s="7" t="s">
        <v>4</v>
      </c>
      <c r="K91" s="105" t="s">
        <v>74</v>
      </c>
      <c r="L91" s="7">
        <v>1</v>
      </c>
      <c r="M91" s="7">
        <f>L91+1</f>
        <v>2</v>
      </c>
      <c r="N91" s="7">
        <f t="shared" ref="N91" si="62">M91+1</f>
        <v>3</v>
      </c>
      <c r="O91" s="7">
        <f t="shared" ref="O91" si="63">N91+1</f>
        <v>4</v>
      </c>
    </row>
    <row r="92" spans="2:15">
      <c r="B92" s="32" t="s">
        <v>51</v>
      </c>
      <c r="C92" s="5">
        <f>$G$92*L92</f>
        <v>270680.978925</v>
      </c>
      <c r="D92" s="5">
        <f t="shared" ref="D92:F92" si="64">$G$92*M92</f>
        <v>270680.978925</v>
      </c>
      <c r="E92" s="5">
        <f t="shared" si="64"/>
        <v>270680.978925</v>
      </c>
      <c r="F92" s="5">
        <f t="shared" si="64"/>
        <v>270680.978925</v>
      </c>
      <c r="G92" s="5">
        <f>'Profit and Loss Statement'!G6</f>
        <v>1082723.9157</v>
      </c>
      <c r="K92" s="4" t="s">
        <v>114</v>
      </c>
      <c r="L92" s="102">
        <v>0.25</v>
      </c>
      <c r="M92" s="102">
        <v>0.25</v>
      </c>
      <c r="N92" s="102">
        <v>0.25</v>
      </c>
      <c r="O92" s="102">
        <v>0.25</v>
      </c>
    </row>
    <row r="93" spans="2:15">
      <c r="B93" s="26" t="s">
        <v>52</v>
      </c>
      <c r="C93" s="5">
        <f>$G$93*L92</f>
        <v>13534.048946250003</v>
      </c>
      <c r="D93" s="5">
        <f t="shared" ref="D93:F93" si="65">$G$93*M92</f>
        <v>13534.048946250003</v>
      </c>
      <c r="E93" s="5">
        <f t="shared" si="65"/>
        <v>13534.048946250003</v>
      </c>
      <c r="F93" s="5">
        <f t="shared" si="65"/>
        <v>13534.048946250003</v>
      </c>
      <c r="G93" s="5">
        <f>'Profit and Loss Statement'!G7</f>
        <v>54136.195785000011</v>
      </c>
    </row>
    <row r="94" spans="2:15">
      <c r="B94" s="24" t="s">
        <v>12</v>
      </c>
      <c r="C94" s="12">
        <f>1-(C93/C92)</f>
        <v>0.95</v>
      </c>
      <c r="D94" s="12">
        <f t="shared" ref="D94:G94" si="66">1-(D93/D92)</f>
        <v>0.95</v>
      </c>
      <c r="E94" s="12">
        <f t="shared" si="66"/>
        <v>0.95</v>
      </c>
      <c r="F94" s="12">
        <f t="shared" si="66"/>
        <v>0.95</v>
      </c>
      <c r="G94" s="12">
        <f t="shared" si="66"/>
        <v>0.95</v>
      </c>
    </row>
    <row r="95" spans="2:15">
      <c r="B95" s="25"/>
    </row>
    <row r="96" spans="2:15">
      <c r="B96" s="32" t="s">
        <v>10</v>
      </c>
      <c r="C96" s="5">
        <f>C92-C93</f>
        <v>257146.92997875001</v>
      </c>
      <c r="D96" s="5">
        <f t="shared" ref="D96:G96" si="67">D92-D93</f>
        <v>257146.92997875001</v>
      </c>
      <c r="E96" s="5">
        <f t="shared" si="67"/>
        <v>257146.92997875001</v>
      </c>
      <c r="F96" s="5">
        <f t="shared" si="67"/>
        <v>257146.92997875001</v>
      </c>
      <c r="G96" s="5">
        <f t="shared" si="67"/>
        <v>1028587.719915</v>
      </c>
    </row>
    <row r="97" spans="2:7">
      <c r="B97" s="25"/>
    </row>
    <row r="98" spans="2:7">
      <c r="B98" s="25" t="s">
        <v>13</v>
      </c>
    </row>
    <row r="99" spans="2:7">
      <c r="B99" s="26" t="s">
        <v>53</v>
      </c>
      <c r="C99" s="5">
        <f>$G$99/4</f>
        <v>141895.375</v>
      </c>
      <c r="D99" s="5">
        <f>$G$99/4</f>
        <v>141895.375</v>
      </c>
      <c r="E99" s="5">
        <f>$G$99/4</f>
        <v>141895.375</v>
      </c>
      <c r="F99" s="5">
        <f>$G$99/4</f>
        <v>141895.375</v>
      </c>
      <c r="G99" s="5">
        <f>'Profit and Loss Statement'!G13</f>
        <v>567581.5</v>
      </c>
    </row>
    <row r="100" spans="2:7">
      <c r="B100" s="28" t="str">
        <f>B70</f>
        <v>Facility Costs</v>
      </c>
      <c r="C100" s="5">
        <f>$G$100/4</f>
        <v>6630.625</v>
      </c>
      <c r="D100" s="5">
        <f t="shared" ref="D100:F100" si="68">$G$100/4</f>
        <v>6630.625</v>
      </c>
      <c r="E100" s="5">
        <f t="shared" si="68"/>
        <v>6630.625</v>
      </c>
      <c r="F100" s="5">
        <f t="shared" si="68"/>
        <v>6630.625</v>
      </c>
      <c r="G100" s="5">
        <f>'Profit and Loss Statement'!G14</f>
        <v>26522.5</v>
      </c>
    </row>
    <row r="101" spans="2:7">
      <c r="B101" s="28" t="str">
        <f t="shared" ref="B101:B105" si="69">B71</f>
        <v>General and Administrative</v>
      </c>
      <c r="C101" s="5">
        <f>$G101/4</f>
        <v>4249.6913691225</v>
      </c>
      <c r="D101" s="5">
        <f t="shared" ref="D101:F101" si="70">$G101/4</f>
        <v>4249.6913691225</v>
      </c>
      <c r="E101" s="5">
        <f t="shared" si="70"/>
        <v>4249.6913691225</v>
      </c>
      <c r="F101" s="5">
        <f t="shared" si="70"/>
        <v>4249.6913691225</v>
      </c>
      <c r="G101" s="5">
        <f>'Profit and Loss Statement'!G15</f>
        <v>16998.76547649</v>
      </c>
    </row>
    <row r="102" spans="2:7">
      <c r="B102" s="28" t="str">
        <f t="shared" si="69"/>
        <v>Equipment Costs</v>
      </c>
      <c r="C102" s="5">
        <f>$G$102/4</f>
        <v>4114.3508796599999</v>
      </c>
      <c r="D102" s="5">
        <f t="shared" ref="D102:F102" si="71">$G$102/4</f>
        <v>4114.3508796599999</v>
      </c>
      <c r="E102" s="5">
        <f t="shared" si="71"/>
        <v>4114.3508796599999</v>
      </c>
      <c r="F102" s="5">
        <f t="shared" si="71"/>
        <v>4114.3508796599999</v>
      </c>
      <c r="G102" s="5">
        <f>'Profit and Loss Statement'!G16</f>
        <v>16457.40351864</v>
      </c>
    </row>
    <row r="103" spans="2:7">
      <c r="B103" s="28" t="str">
        <f t="shared" si="69"/>
        <v>Insurance Costs</v>
      </c>
      <c r="C103" s="5">
        <f>$G$103/4</f>
        <v>8513.7224999999999</v>
      </c>
      <c r="D103" s="5">
        <f t="shared" ref="D103:F103" si="72">$G$103/4</f>
        <v>8513.7224999999999</v>
      </c>
      <c r="E103" s="5">
        <f t="shared" si="72"/>
        <v>8513.7224999999999</v>
      </c>
      <c r="F103" s="5">
        <f t="shared" si="72"/>
        <v>8513.7224999999999</v>
      </c>
      <c r="G103" s="5">
        <f>'Profit and Loss Statement'!G17</f>
        <v>34054.89</v>
      </c>
    </row>
    <row r="104" spans="2:7">
      <c r="B104" s="28" t="str">
        <f t="shared" si="69"/>
        <v>Marketing</v>
      </c>
      <c r="C104" s="5">
        <f>$G$104/4</f>
        <v>3248.1717471000002</v>
      </c>
      <c r="D104" s="5">
        <f t="shared" ref="D104:F104" si="73">$G$104/4</f>
        <v>3248.1717471000002</v>
      </c>
      <c r="E104" s="5">
        <f t="shared" si="73"/>
        <v>3248.1717471000002</v>
      </c>
      <c r="F104" s="5">
        <f t="shared" si="73"/>
        <v>3248.1717471000002</v>
      </c>
      <c r="G104" s="5">
        <f>'Profit and Loss Statement'!G18</f>
        <v>12992.686988400001</v>
      </c>
    </row>
    <row r="105" spans="2:7">
      <c r="B105" s="28" t="str">
        <f t="shared" si="69"/>
        <v>Professional Fees and Licensure</v>
      </c>
      <c r="C105" s="5">
        <f>$G$105/4</f>
        <v>2278.125</v>
      </c>
      <c r="D105" s="5">
        <f t="shared" ref="D105:F105" si="74">$G$105/4</f>
        <v>2278.125</v>
      </c>
      <c r="E105" s="5">
        <f t="shared" si="74"/>
        <v>2278.125</v>
      </c>
      <c r="F105" s="5">
        <f t="shared" si="74"/>
        <v>2278.125</v>
      </c>
      <c r="G105" s="5">
        <f>'Profit and Loss Statement'!G19</f>
        <v>9112.5</v>
      </c>
    </row>
    <row r="106" spans="2:7">
      <c r="B106" s="24" t="s">
        <v>14</v>
      </c>
      <c r="C106" s="5">
        <f>$G$106/4</f>
        <v>10854.996187499999</v>
      </c>
      <c r="D106" s="5">
        <f t="shared" ref="D106:F106" si="75">$G$106/4</f>
        <v>10854.996187499999</v>
      </c>
      <c r="E106" s="5">
        <f t="shared" si="75"/>
        <v>10854.996187499999</v>
      </c>
      <c r="F106" s="5">
        <f t="shared" si="75"/>
        <v>10854.996187499999</v>
      </c>
      <c r="G106" s="5">
        <f>'Profit and Loss Statement'!G20</f>
        <v>43419.984749999996</v>
      </c>
    </row>
    <row r="107" spans="2:7">
      <c r="B107" s="23" t="s">
        <v>8</v>
      </c>
      <c r="C107" s="5">
        <f>SUM(C99:C106)</f>
        <v>181785.05768338247</v>
      </c>
      <c r="D107" s="5">
        <f t="shared" ref="D107:F107" si="76">SUM(D99:D106)</f>
        <v>181785.05768338247</v>
      </c>
      <c r="E107" s="5">
        <f t="shared" si="76"/>
        <v>181785.05768338247</v>
      </c>
      <c r="F107" s="5">
        <f t="shared" si="76"/>
        <v>181785.05768338247</v>
      </c>
      <c r="G107" s="5">
        <f>SUM(G99:G106)</f>
        <v>727140.2307335299</v>
      </c>
    </row>
    <row r="108" spans="2:7">
      <c r="B108" s="25"/>
    </row>
    <row r="109" spans="2:7">
      <c r="B109" s="19" t="s">
        <v>47</v>
      </c>
      <c r="C109" s="20">
        <f>C96-C107</f>
        <v>75361.872295367531</v>
      </c>
      <c r="D109" s="20">
        <f t="shared" ref="D109:G109" si="77">D96-D107</f>
        <v>75361.872295367531</v>
      </c>
      <c r="E109" s="20">
        <f t="shared" si="77"/>
        <v>75361.872295367531</v>
      </c>
      <c r="F109" s="20">
        <f t="shared" si="77"/>
        <v>75361.872295367531</v>
      </c>
      <c r="G109" s="20">
        <f t="shared" si="77"/>
        <v>301447.48918147013</v>
      </c>
    </row>
    <row r="110" spans="2:7">
      <c r="B110" s="24" t="s">
        <v>15</v>
      </c>
      <c r="C110" s="5">
        <f>$G$110*L92</f>
        <v>16736.061326475454</v>
      </c>
      <c r="D110" s="5">
        <f t="shared" ref="D110:F110" si="78">$G$110*M92</f>
        <v>16736.061326475454</v>
      </c>
      <c r="E110" s="5">
        <f t="shared" si="78"/>
        <v>16736.061326475454</v>
      </c>
      <c r="F110" s="5">
        <f t="shared" si="78"/>
        <v>16736.061326475454</v>
      </c>
      <c r="G110" s="5">
        <f>'Profit and Loss Statement'!G24</f>
        <v>66944.245305901815</v>
      </c>
    </row>
    <row r="111" spans="2:7">
      <c r="B111" s="24" t="s">
        <v>102</v>
      </c>
      <c r="C111" s="5">
        <f>$G$111*L92</f>
        <v>3347.2122652950911</v>
      </c>
      <c r="D111" s="5">
        <f t="shared" ref="D111:F111" si="79">$G$111*M92</f>
        <v>3347.2122652950911</v>
      </c>
      <c r="E111" s="5">
        <f t="shared" si="79"/>
        <v>3347.2122652950911</v>
      </c>
      <c r="F111" s="5">
        <f t="shared" si="79"/>
        <v>3347.2122652950911</v>
      </c>
      <c r="G111" s="5">
        <f>'Profit and Loss Statement'!G25</f>
        <v>13388.849061180365</v>
      </c>
    </row>
    <row r="112" spans="2:7">
      <c r="B112" s="24" t="s">
        <v>16</v>
      </c>
      <c r="C112" s="5">
        <f>SUM('Loan Amortization Table'!D38:D40)</f>
        <v>4828.8995776718011</v>
      </c>
      <c r="D112" s="5">
        <f>SUM('Loan Amortization Table'!D41:D43)</f>
        <v>4722.994115599432</v>
      </c>
      <c r="E112" s="5">
        <f>SUM('Loan Amortization Table'!D44:D46)</f>
        <v>4614.6878644048429</v>
      </c>
      <c r="F112" s="5">
        <f>SUM('Loan Amortization Table'!D47:D49)</f>
        <v>4503.9264001867869</v>
      </c>
      <c r="G112" s="5">
        <f>'Profit and Loss Statement'!G26</f>
        <v>18670.507957862861</v>
      </c>
    </row>
    <row r="113" spans="2:15">
      <c r="B113" s="24" t="s">
        <v>54</v>
      </c>
      <c r="C113" s="5">
        <f>$G$113/4</f>
        <v>3750</v>
      </c>
      <c r="D113" s="5">
        <f>$G$113/4</f>
        <v>3750</v>
      </c>
      <c r="E113" s="5">
        <f>$G$113/4</f>
        <v>3750</v>
      </c>
      <c r="F113" s="5">
        <f>$G$113/4</f>
        <v>3750</v>
      </c>
      <c r="G113" s="5">
        <f>'Profit and Loss Statement'!G27</f>
        <v>15000</v>
      </c>
    </row>
    <row r="114" spans="2:15">
      <c r="B114" s="33" t="s">
        <v>17</v>
      </c>
      <c r="C114" s="34">
        <f>C109-SUM(C110:C113)</f>
        <v>46699.699125925188</v>
      </c>
      <c r="D114" s="34">
        <f t="shared" ref="D114:F114" si="80">D109-SUM(D110:D113)</f>
        <v>46805.604587997557</v>
      </c>
      <c r="E114" s="34">
        <f t="shared" si="80"/>
        <v>46913.910839192147</v>
      </c>
      <c r="F114" s="34">
        <f t="shared" si="80"/>
        <v>47024.672303410203</v>
      </c>
      <c r="G114" s="34">
        <f>'Profit and Loss Statement'!G28</f>
        <v>187443.88685652509</v>
      </c>
    </row>
    <row r="117" spans="2:15">
      <c r="B117" s="107"/>
      <c r="K117" s="107"/>
    </row>
    <row r="118" spans="2:15">
      <c r="C118" s="114"/>
      <c r="D118" s="114"/>
      <c r="E118" s="114"/>
      <c r="F118" s="114"/>
      <c r="G118" s="114"/>
      <c r="L118" s="114"/>
      <c r="M118" s="114"/>
      <c r="N118" s="114"/>
      <c r="O118" s="114"/>
    </row>
    <row r="119" spans="2:15">
      <c r="B119" s="118"/>
      <c r="C119" s="1"/>
      <c r="D119" s="1"/>
      <c r="E119" s="1"/>
      <c r="F119" s="1"/>
      <c r="G119" s="1"/>
      <c r="L119" s="120"/>
      <c r="M119" s="120"/>
      <c r="N119" s="120"/>
      <c r="O119" s="120"/>
    </row>
    <row r="120" spans="2:15">
      <c r="C120" s="1"/>
      <c r="D120" s="1"/>
      <c r="E120" s="1"/>
      <c r="F120" s="1"/>
      <c r="G120" s="1"/>
    </row>
    <row r="121" spans="2:15">
      <c r="C121" s="119"/>
      <c r="D121" s="119"/>
      <c r="E121" s="119"/>
      <c r="F121" s="119"/>
      <c r="G121" s="119"/>
    </row>
    <row r="123" spans="2:15">
      <c r="B123" s="118"/>
      <c r="C123" s="1"/>
      <c r="D123" s="1"/>
      <c r="E123" s="1"/>
      <c r="F123" s="1"/>
      <c r="G123" s="1"/>
    </row>
    <row r="125" spans="2:15">
      <c r="I125" s="107"/>
      <c r="J125" s="107"/>
      <c r="K125" s="107"/>
    </row>
    <row r="126" spans="2:15">
      <c r="C126" s="1"/>
      <c r="D126" s="1"/>
      <c r="E126" s="1"/>
      <c r="F126" s="1"/>
      <c r="G126" s="1"/>
      <c r="I126" s="109">
        <f>SUM(C126:F126)</f>
        <v>0</v>
      </c>
      <c r="J126" s="109">
        <f>G126-I126</f>
        <v>0</v>
      </c>
      <c r="K126" s="107"/>
    </row>
    <row r="127" spans="2:15">
      <c r="C127" s="1"/>
      <c r="D127" s="1"/>
      <c r="E127" s="1"/>
      <c r="F127" s="1"/>
      <c r="G127" s="1"/>
      <c r="I127" s="109">
        <f t="shared" ref="I127:I133" si="81">SUM(C127:F127)</f>
        <v>0</v>
      </c>
      <c r="J127" s="109">
        <f t="shared" ref="J127:J133" si="82">G127-I127</f>
        <v>0</v>
      </c>
      <c r="K127" s="107"/>
    </row>
    <row r="128" spans="2:15">
      <c r="C128" s="1"/>
      <c r="D128" s="1"/>
      <c r="E128" s="1"/>
      <c r="F128" s="1"/>
      <c r="G128" s="1"/>
      <c r="I128" s="109">
        <f t="shared" si="81"/>
        <v>0</v>
      </c>
      <c r="J128" s="109">
        <f t="shared" si="82"/>
        <v>0</v>
      </c>
      <c r="K128" s="107"/>
    </row>
    <row r="129" spans="2:11">
      <c r="C129" s="1"/>
      <c r="D129" s="1"/>
      <c r="E129" s="1"/>
      <c r="F129" s="1"/>
      <c r="G129" s="1"/>
      <c r="I129" s="109">
        <f t="shared" si="81"/>
        <v>0</v>
      </c>
      <c r="J129" s="109">
        <f t="shared" si="82"/>
        <v>0</v>
      </c>
      <c r="K129" s="107"/>
    </row>
    <row r="130" spans="2:11">
      <c r="C130" s="1"/>
      <c r="D130" s="1"/>
      <c r="E130" s="1"/>
      <c r="F130" s="1"/>
      <c r="G130" s="1"/>
      <c r="I130" s="109">
        <f t="shared" si="81"/>
        <v>0</v>
      </c>
      <c r="J130" s="109">
        <f t="shared" si="82"/>
        <v>0</v>
      </c>
      <c r="K130" s="107"/>
    </row>
    <row r="131" spans="2:11">
      <c r="C131" s="1"/>
      <c r="D131" s="1"/>
      <c r="E131" s="1"/>
      <c r="F131" s="1"/>
      <c r="G131" s="1"/>
      <c r="I131" s="109">
        <f t="shared" si="81"/>
        <v>0</v>
      </c>
      <c r="J131" s="109">
        <f t="shared" si="82"/>
        <v>0</v>
      </c>
      <c r="K131" s="107"/>
    </row>
    <row r="132" spans="2:11">
      <c r="C132" s="1"/>
      <c r="D132" s="1"/>
      <c r="E132" s="1"/>
      <c r="F132" s="1"/>
      <c r="G132" s="1"/>
      <c r="I132" s="109">
        <f t="shared" si="81"/>
        <v>0</v>
      </c>
      <c r="J132" s="109">
        <f t="shared" si="82"/>
        <v>0</v>
      </c>
      <c r="K132" s="107"/>
    </row>
    <row r="133" spans="2:11">
      <c r="C133" s="1"/>
      <c r="D133" s="1"/>
      <c r="E133" s="1"/>
      <c r="F133" s="1"/>
      <c r="G133" s="1"/>
      <c r="I133" s="109">
        <f t="shared" si="81"/>
        <v>0</v>
      </c>
      <c r="J133" s="109">
        <f t="shared" si="82"/>
        <v>0</v>
      </c>
      <c r="K133" s="107"/>
    </row>
    <row r="134" spans="2:11">
      <c r="B134" s="118"/>
      <c r="C134" s="1"/>
      <c r="D134" s="1"/>
      <c r="E134" s="1"/>
      <c r="F134" s="1"/>
      <c r="G134" s="1"/>
      <c r="I134" s="109"/>
      <c r="J134" s="107"/>
      <c r="K134" s="107"/>
    </row>
    <row r="136" spans="2:11">
      <c r="B136" s="118"/>
      <c r="C136" s="117"/>
      <c r="D136" s="117"/>
      <c r="E136" s="117"/>
      <c r="F136" s="117"/>
      <c r="G136" s="117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18"/>
      <c r="C141" s="117"/>
      <c r="D141" s="117"/>
      <c r="E141" s="117"/>
      <c r="F141" s="117"/>
      <c r="G141" s="117"/>
    </row>
    <row r="144" spans="2:11">
      <c r="B144" s="107"/>
      <c r="K144" s="107"/>
    </row>
    <row r="145" spans="2:15">
      <c r="C145" s="114"/>
      <c r="D145" s="114"/>
      <c r="E145" s="114"/>
      <c r="F145" s="114"/>
      <c r="G145" s="114"/>
      <c r="L145" s="114"/>
      <c r="M145" s="114"/>
      <c r="N145" s="114"/>
      <c r="O145" s="114"/>
    </row>
    <row r="146" spans="2:15">
      <c r="B146" s="118"/>
      <c r="C146" s="1"/>
      <c r="D146" s="1"/>
      <c r="E146" s="1"/>
      <c r="F146" s="1"/>
      <c r="G146" s="1"/>
      <c r="L146" s="120"/>
      <c r="M146" s="120"/>
      <c r="N146" s="120"/>
      <c r="O146" s="120"/>
    </row>
    <row r="147" spans="2:15">
      <c r="C147" s="1"/>
      <c r="D147" s="1"/>
      <c r="E147" s="1"/>
      <c r="F147" s="1"/>
      <c r="G147" s="1"/>
    </row>
    <row r="148" spans="2:15">
      <c r="C148" s="119"/>
      <c r="D148" s="119"/>
      <c r="E148" s="119"/>
      <c r="F148" s="119"/>
      <c r="G148" s="119"/>
    </row>
    <row r="150" spans="2:15">
      <c r="B150" s="118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18"/>
      <c r="C161" s="1"/>
      <c r="D161" s="1"/>
      <c r="E161" s="1"/>
      <c r="F161" s="1"/>
      <c r="G161" s="1"/>
    </row>
    <row r="163" spans="2:7">
      <c r="B163" s="118"/>
      <c r="C163" s="117"/>
      <c r="D163" s="117"/>
      <c r="E163" s="117"/>
      <c r="F163" s="117"/>
      <c r="G163" s="117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18"/>
      <c r="C168" s="117"/>
      <c r="D168" s="117"/>
      <c r="E168" s="117"/>
      <c r="F168" s="117"/>
      <c r="G168" s="117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workbookViewId="0">
      <selection activeCell="M18" sqref="M18"/>
    </sheetView>
  </sheetViews>
  <sheetFormatPr defaultRowHeight="15"/>
  <cols>
    <col min="3" max="3" width="27.5703125" customWidth="1"/>
    <col min="4" max="6" width="11.140625" bestFit="1" customWidth="1"/>
    <col min="7" max="7" width="10.85546875" bestFit="1" customWidth="1"/>
    <col min="8" max="8" width="11.140625" bestFit="1" customWidth="1"/>
    <col min="9" max="9" width="11.85546875" customWidth="1"/>
    <col min="10" max="10" width="10.140625" bestFit="1" customWidth="1"/>
  </cols>
  <sheetData>
    <row r="4" spans="3:10">
      <c r="C4" s="6" t="s">
        <v>66</v>
      </c>
      <c r="D4" s="3"/>
      <c r="E4" s="3"/>
      <c r="F4" s="3"/>
      <c r="G4" s="3"/>
      <c r="H4" s="3"/>
      <c r="I4" s="3"/>
      <c r="J4" s="3"/>
    </row>
    <row r="5" spans="3:10">
      <c r="C5" s="24" t="s">
        <v>5</v>
      </c>
      <c r="D5" s="14">
        <v>1</v>
      </c>
      <c r="E5" s="14">
        <f>D5+1</f>
        <v>2</v>
      </c>
      <c r="F5" s="14">
        <f t="shared" ref="F5:J5" si="0">E5+1</f>
        <v>3</v>
      </c>
      <c r="G5" s="14">
        <f t="shared" si="0"/>
        <v>4</v>
      </c>
      <c r="H5" s="14">
        <f t="shared" si="0"/>
        <v>5</v>
      </c>
      <c r="I5" s="14">
        <f t="shared" si="0"/>
        <v>6</v>
      </c>
      <c r="J5" s="14">
        <f t="shared" si="0"/>
        <v>7</v>
      </c>
    </row>
    <row r="6" spans="3:10">
      <c r="C6" s="36" t="s">
        <v>67</v>
      </c>
      <c r="D6" s="10">
        <f>'Expanded Profit and Loss'!C28+'Expanded Profit and Loss'!C27</f>
        <v>11816.881910944521</v>
      </c>
      <c r="E6" s="10">
        <f>'Expanded Profit and Loss'!D28+'Expanded Profit and Loss'!D27</f>
        <v>11835.936677551934</v>
      </c>
      <c r="F6" s="10">
        <f>'Expanded Profit and Loss'!E28+'Expanded Profit and Loss'!E27</f>
        <v>11855.064113216171</v>
      </c>
      <c r="G6" s="10">
        <f>'Expanded Profit and Loss'!F28+'Expanded Profit and Loss'!F27</f>
        <v>11874.264762955183</v>
      </c>
      <c r="H6" s="10">
        <f>'Expanded Profit and Loss'!G28+'Expanded Profit and Loss'!G27</f>
        <v>11893.539175874506</v>
      </c>
      <c r="I6" s="10">
        <f>'Expanded Profit and Loss'!H28+'Expanded Profit and Loss'!H27</f>
        <v>11912.887905198018</v>
      </c>
      <c r="J6" s="10">
        <f>'Expanded Profit and Loss'!I28+'Expanded Profit and Loss'!I27</f>
        <v>11932.311508298739</v>
      </c>
    </row>
    <row r="7" spans="3:10">
      <c r="C7" s="25"/>
    </row>
    <row r="8" spans="3:10">
      <c r="C8" s="30" t="s">
        <v>19</v>
      </c>
    </row>
    <row r="9" spans="3:10">
      <c r="C9" s="9" t="s">
        <v>20</v>
      </c>
      <c r="D9" s="10">
        <f>'Cash Flow Analysis'!E9</f>
        <v>50000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</row>
    <row r="10" spans="3:10">
      <c r="C10" s="26" t="s">
        <v>21</v>
      </c>
      <c r="D10" s="5">
        <f>'Cash Flow Analysis'!E10</f>
        <v>250000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</row>
    <row r="11" spans="3:10">
      <c r="C11" s="9" t="s">
        <v>22</v>
      </c>
      <c r="D11" s="10">
        <f>$I$36/12</f>
        <v>833.33333333333337</v>
      </c>
      <c r="E11" s="10">
        <f t="shared" ref="E11:J11" si="1">$I$36/12</f>
        <v>833.33333333333337</v>
      </c>
      <c r="F11" s="10">
        <f t="shared" si="1"/>
        <v>833.33333333333337</v>
      </c>
      <c r="G11" s="10">
        <f t="shared" si="1"/>
        <v>833.33333333333337</v>
      </c>
      <c r="H11" s="10">
        <f t="shared" si="1"/>
        <v>833.33333333333337</v>
      </c>
      <c r="I11" s="10">
        <f t="shared" si="1"/>
        <v>833.33333333333337</v>
      </c>
      <c r="J11" s="10">
        <f t="shared" si="1"/>
        <v>833.33333333333337</v>
      </c>
    </row>
    <row r="12" spans="3:10">
      <c r="C12" s="32" t="s">
        <v>23</v>
      </c>
      <c r="D12" s="21">
        <f>SUM(D9:D11)</f>
        <v>300833.33333333331</v>
      </c>
      <c r="E12" s="21">
        <f t="shared" ref="E12:J12" si="2">SUM(E9:E11)</f>
        <v>833.33333333333337</v>
      </c>
      <c r="F12" s="21">
        <f t="shared" si="2"/>
        <v>833.33333333333337</v>
      </c>
      <c r="G12" s="21">
        <f t="shared" si="2"/>
        <v>833.33333333333337</v>
      </c>
      <c r="H12" s="21">
        <f t="shared" si="2"/>
        <v>833.33333333333337</v>
      </c>
      <c r="I12" s="21">
        <f t="shared" si="2"/>
        <v>833.33333333333337</v>
      </c>
      <c r="J12" s="21">
        <f t="shared" si="2"/>
        <v>833.33333333333337</v>
      </c>
    </row>
    <row r="13" spans="3:10">
      <c r="C13" s="25"/>
    </row>
    <row r="14" spans="3:10">
      <c r="C14" s="25"/>
    </row>
    <row r="15" spans="3:10">
      <c r="C15" s="36" t="s">
        <v>18</v>
      </c>
      <c r="D15" s="22">
        <f>D6+D12</f>
        <v>312650.21524427785</v>
      </c>
      <c r="E15" s="22">
        <f t="shared" ref="E15:J15" si="3">E6+E12</f>
        <v>12669.270010885268</v>
      </c>
      <c r="F15" s="22">
        <f t="shared" si="3"/>
        <v>12688.397446549505</v>
      </c>
      <c r="G15" s="22">
        <f t="shared" si="3"/>
        <v>12707.598096288517</v>
      </c>
      <c r="H15" s="22">
        <f t="shared" si="3"/>
        <v>12726.87250920784</v>
      </c>
      <c r="I15" s="22">
        <f t="shared" si="3"/>
        <v>12746.221238531352</v>
      </c>
      <c r="J15" s="22">
        <f t="shared" si="3"/>
        <v>12765.644841632073</v>
      </c>
    </row>
    <row r="16" spans="3:10">
      <c r="C16" s="25"/>
    </row>
    <row r="17" spans="3:10">
      <c r="C17" s="25" t="s">
        <v>24</v>
      </c>
    </row>
    <row r="18" spans="3:10">
      <c r="C18" s="26" t="s">
        <v>68</v>
      </c>
      <c r="D18" s="5">
        <f>'Loan Amortization Table'!C14</f>
        <v>1291.894343756237</v>
      </c>
      <c r="E18" s="5">
        <f>'Loan Amortization Table'!C15</f>
        <v>1301.5835513344089</v>
      </c>
      <c r="F18" s="5">
        <f>'Loan Amortization Table'!C16</f>
        <v>1311.345427969417</v>
      </c>
      <c r="G18" s="5">
        <f>'Loan Amortization Table'!C17</f>
        <v>1321.1805186791876</v>
      </c>
      <c r="H18" s="5">
        <f>'Loan Amortization Table'!C18</f>
        <v>1331.0893725692813</v>
      </c>
      <c r="I18" s="5">
        <f>'Loan Amortization Table'!C19</f>
        <v>1341.072542863551</v>
      </c>
      <c r="J18" s="5">
        <f>'Loan Amortization Table'!C20</f>
        <v>1351.1305869350276</v>
      </c>
    </row>
    <row r="19" spans="3:10">
      <c r="C19" s="9" t="s">
        <v>25</v>
      </c>
      <c r="D19" s="10">
        <f>$I$44/12</f>
        <v>583.33333333333337</v>
      </c>
      <c r="E19" s="10">
        <f t="shared" ref="E19:J19" si="4">$I$44/12</f>
        <v>583.33333333333337</v>
      </c>
      <c r="F19" s="10">
        <f t="shared" si="4"/>
        <v>583.33333333333337</v>
      </c>
      <c r="G19" s="10">
        <f t="shared" si="4"/>
        <v>583.33333333333337</v>
      </c>
      <c r="H19" s="10">
        <f t="shared" si="4"/>
        <v>583.33333333333337</v>
      </c>
      <c r="I19" s="10">
        <f t="shared" si="4"/>
        <v>583.33333333333337</v>
      </c>
      <c r="J19" s="10">
        <f t="shared" si="4"/>
        <v>583.33333333333337</v>
      </c>
    </row>
    <row r="20" spans="3:10">
      <c r="C20" s="26" t="s">
        <v>33</v>
      </c>
      <c r="D20" s="5">
        <f>I45</f>
        <v>190000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</row>
    <row r="21" spans="3:10">
      <c r="C21" s="9" t="s">
        <v>32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</row>
    <row r="22" spans="3:10">
      <c r="C22" s="32" t="s">
        <v>26</v>
      </c>
      <c r="D22" s="21">
        <f>SUM(D18:D21)</f>
        <v>191875.22767708957</v>
      </c>
      <c r="E22" s="21">
        <f t="shared" ref="E22:J22" si="5">SUM(E18:E21)</f>
        <v>1884.9168846677421</v>
      </c>
      <c r="F22" s="21">
        <f t="shared" si="5"/>
        <v>1894.6787613027504</v>
      </c>
      <c r="G22" s="21">
        <f t="shared" si="5"/>
        <v>1904.5138520125211</v>
      </c>
      <c r="H22" s="21">
        <f t="shared" si="5"/>
        <v>1914.4227059026148</v>
      </c>
      <c r="I22" s="21">
        <f t="shared" si="5"/>
        <v>1924.4058761968845</v>
      </c>
      <c r="J22" s="21">
        <f t="shared" si="5"/>
        <v>1934.4639202683611</v>
      </c>
    </row>
    <row r="23" spans="3:10">
      <c r="C23" s="25"/>
    </row>
    <row r="24" spans="3:10">
      <c r="C24" s="37" t="s">
        <v>27</v>
      </c>
      <c r="D24" s="20">
        <f>D15-D22</f>
        <v>120774.98756718828</v>
      </c>
      <c r="E24" s="20">
        <f t="shared" ref="E24:J24" si="6">E15-E22</f>
        <v>10784.353126217526</v>
      </c>
      <c r="F24" s="20">
        <f t="shared" si="6"/>
        <v>10793.718685246755</v>
      </c>
      <c r="G24" s="20">
        <f t="shared" si="6"/>
        <v>10803.084244275997</v>
      </c>
      <c r="H24" s="20">
        <f t="shared" si="6"/>
        <v>10812.449803305226</v>
      </c>
      <c r="I24" s="20">
        <f t="shared" si="6"/>
        <v>10821.815362334468</v>
      </c>
      <c r="J24" s="20">
        <f t="shared" si="6"/>
        <v>10831.180921363712</v>
      </c>
    </row>
    <row r="25" spans="3:10">
      <c r="C25" s="37" t="s">
        <v>6</v>
      </c>
      <c r="D25" s="20">
        <f>D24</f>
        <v>120774.98756718828</v>
      </c>
      <c r="E25" s="20">
        <f>D25+E24</f>
        <v>131559.3406934058</v>
      </c>
      <c r="F25" s="20">
        <f t="shared" ref="F25:J25" si="7">E25+F24</f>
        <v>142353.05937865254</v>
      </c>
      <c r="G25" s="20">
        <f t="shared" si="7"/>
        <v>153156.14362292853</v>
      </c>
      <c r="H25" s="20">
        <f t="shared" si="7"/>
        <v>163968.59342623377</v>
      </c>
      <c r="I25" s="20">
        <f t="shared" si="7"/>
        <v>174790.40878856822</v>
      </c>
      <c r="J25" s="20">
        <f t="shared" si="7"/>
        <v>185621.58970993193</v>
      </c>
    </row>
    <row r="29" spans="3:10">
      <c r="C29" s="6" t="s">
        <v>66</v>
      </c>
      <c r="D29" s="3"/>
      <c r="E29" s="3"/>
      <c r="F29" s="3"/>
      <c r="G29" s="3"/>
      <c r="H29" s="3"/>
      <c r="I29" s="3"/>
      <c r="J29" s="25"/>
    </row>
    <row r="30" spans="3:10">
      <c r="C30" s="24" t="s">
        <v>5</v>
      </c>
      <c r="D30" s="14">
        <v>8</v>
      </c>
      <c r="E30" s="14">
        <v>9</v>
      </c>
      <c r="F30" s="14">
        <f t="shared" ref="F30" si="8">E30+1</f>
        <v>10</v>
      </c>
      <c r="G30" s="14">
        <f t="shared" ref="G30" si="9">F30+1</f>
        <v>11</v>
      </c>
      <c r="H30" s="14">
        <f t="shared" ref="H30" si="10">G30+1</f>
        <v>12</v>
      </c>
      <c r="I30" s="18" t="s">
        <v>2</v>
      </c>
      <c r="J30" s="38"/>
    </row>
    <row r="31" spans="3:10">
      <c r="C31" s="36" t="s">
        <v>67</v>
      </c>
      <c r="D31" s="10">
        <f>'Expanded Profit and Loss'!C56+'Expanded Profit and Loss'!C55</f>
        <v>11951.810546729979</v>
      </c>
      <c r="E31" s="10">
        <f>'Expanded Profit and Loss'!D56+'Expanded Profit and Loss'!D55</f>
        <v>11971.385586256751</v>
      </c>
      <c r="F31" s="10">
        <f>'Expanded Profit and Loss'!E56+'Expanded Profit and Loss'!E55</f>
        <v>11991.037196887239</v>
      </c>
      <c r="G31" s="10">
        <f>'Expanded Profit and Loss'!F56+'Expanded Profit and Loss'!F55</f>
        <v>12010.765952904749</v>
      </c>
      <c r="H31" s="10">
        <f>'Expanded Profit and Loss'!G56+'Expanded Profit and Loss'!G55</f>
        <v>12030.572432899673</v>
      </c>
      <c r="I31" s="10">
        <f>'Cash Flow Analysis'!E6</f>
        <v>143076.45776971756</v>
      </c>
      <c r="J31" s="25"/>
    </row>
    <row r="32" spans="3:10">
      <c r="C32" s="25"/>
      <c r="J32" s="25"/>
    </row>
    <row r="33" spans="3:10">
      <c r="C33" s="30" t="s">
        <v>19</v>
      </c>
      <c r="J33" s="25"/>
    </row>
    <row r="34" spans="3:10">
      <c r="C34" s="9" t="s">
        <v>20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5">
        <f>'Cash Flow Analysis'!E9</f>
        <v>50000</v>
      </c>
      <c r="J34" s="25"/>
    </row>
    <row r="35" spans="3:10">
      <c r="C35" s="26" t="s">
        <v>21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11">
        <f>'Cash Flow Analysis'!E10</f>
        <v>250000</v>
      </c>
      <c r="J35" s="25"/>
    </row>
    <row r="36" spans="3:10">
      <c r="C36" s="9" t="s">
        <v>22</v>
      </c>
      <c r="D36" s="10">
        <f>$I$36/12</f>
        <v>833.33333333333337</v>
      </c>
      <c r="E36" s="10">
        <f t="shared" ref="E36:H36" si="11">$I$36/12</f>
        <v>833.33333333333337</v>
      </c>
      <c r="F36" s="10">
        <f t="shared" si="11"/>
        <v>833.33333333333337</v>
      </c>
      <c r="G36" s="10">
        <f t="shared" si="11"/>
        <v>833.33333333333337</v>
      </c>
      <c r="H36" s="10">
        <f t="shared" si="11"/>
        <v>833.33333333333337</v>
      </c>
      <c r="I36" s="15">
        <f>'Cash Flow Analysis'!E11</f>
        <v>10000</v>
      </c>
      <c r="J36" s="25"/>
    </row>
    <row r="37" spans="3:10">
      <c r="C37" s="32" t="s">
        <v>23</v>
      </c>
      <c r="D37" s="21">
        <f>SUM(D34:D36)</f>
        <v>833.33333333333337</v>
      </c>
      <c r="E37" s="21">
        <f t="shared" ref="E37:H37" si="12">SUM(E34:E36)</f>
        <v>833.33333333333337</v>
      </c>
      <c r="F37" s="21">
        <f t="shared" si="12"/>
        <v>833.33333333333337</v>
      </c>
      <c r="G37" s="21">
        <f t="shared" si="12"/>
        <v>833.33333333333337</v>
      </c>
      <c r="H37" s="21">
        <f t="shared" si="12"/>
        <v>833.33333333333337</v>
      </c>
      <c r="I37" s="39">
        <f>'Cash Flow Analysis'!E12</f>
        <v>310000</v>
      </c>
      <c r="J37" s="25"/>
    </row>
    <row r="38" spans="3:10">
      <c r="C38" s="25"/>
      <c r="J38" s="25"/>
    </row>
    <row r="39" spans="3:10">
      <c r="C39" s="25"/>
      <c r="J39" s="25"/>
    </row>
    <row r="40" spans="3:10">
      <c r="C40" s="36" t="s">
        <v>18</v>
      </c>
      <c r="D40" s="22">
        <f>D31+D37</f>
        <v>12785.143880063313</v>
      </c>
      <c r="E40" s="22">
        <f t="shared" ref="E40:H40" si="13">E31+E37</f>
        <v>12804.718919590085</v>
      </c>
      <c r="F40" s="22">
        <f t="shared" si="13"/>
        <v>12824.370530220573</v>
      </c>
      <c r="G40" s="22">
        <f t="shared" si="13"/>
        <v>12844.099286238083</v>
      </c>
      <c r="H40" s="22">
        <f t="shared" si="13"/>
        <v>12863.905766233007</v>
      </c>
      <c r="I40" s="31">
        <f>'Cash Flow Analysis'!E15</f>
        <v>453076.45776971756</v>
      </c>
      <c r="J40" s="25"/>
    </row>
    <row r="41" spans="3:10">
      <c r="C41" s="25"/>
      <c r="J41" s="25"/>
    </row>
    <row r="42" spans="3:10">
      <c r="C42" s="25" t="s">
        <v>24</v>
      </c>
      <c r="J42" s="25"/>
    </row>
    <row r="43" spans="3:10">
      <c r="C43" s="26" t="s">
        <v>68</v>
      </c>
      <c r="D43" s="5">
        <f>'Loan Amortization Table'!C21</f>
        <v>1361.2640663370405</v>
      </c>
      <c r="E43" s="5">
        <f>'Loan Amortization Table'!C22</f>
        <v>1371.4735468345682</v>
      </c>
      <c r="F43" s="5">
        <f>'Loan Amortization Table'!C23</f>
        <v>1381.7595984358277</v>
      </c>
      <c r="G43" s="5">
        <f>'Loan Amortization Table'!C24</f>
        <v>1392.1227954240965</v>
      </c>
      <c r="H43" s="5">
        <f>'Loan Amortization Table'!C25</f>
        <v>1402.5637163897773</v>
      </c>
      <c r="I43" s="5">
        <f>'Cash Flow Analysis'!E18</f>
        <v>16158.48006752842</v>
      </c>
      <c r="J43" s="25"/>
    </row>
    <row r="44" spans="3:10">
      <c r="C44" s="9" t="s">
        <v>25</v>
      </c>
      <c r="D44" s="10">
        <f>$I$44/12</f>
        <v>583.33333333333337</v>
      </c>
      <c r="E44" s="10">
        <f t="shared" ref="E44:H44" si="14">$I$44/12</f>
        <v>583.33333333333337</v>
      </c>
      <c r="F44" s="10">
        <f t="shared" si="14"/>
        <v>583.33333333333337</v>
      </c>
      <c r="G44" s="10">
        <f t="shared" si="14"/>
        <v>583.33333333333337</v>
      </c>
      <c r="H44" s="10">
        <f t="shared" si="14"/>
        <v>583.33333333333337</v>
      </c>
      <c r="I44" s="10">
        <f>'Cash Flow Analysis'!E19</f>
        <v>7000</v>
      </c>
      <c r="J44" s="25"/>
    </row>
    <row r="45" spans="3:10">
      <c r="C45" s="26" t="s">
        <v>33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f>'Cash Flow Analysis'!E20</f>
        <v>190000</v>
      </c>
      <c r="J45" s="25"/>
    </row>
    <row r="46" spans="3:10">
      <c r="C46" s="9" t="s">
        <v>32</v>
      </c>
      <c r="D46" s="10">
        <v>0</v>
      </c>
      <c r="E46" s="10">
        <v>0</v>
      </c>
      <c r="F46" s="10">
        <v>0</v>
      </c>
      <c r="G46" s="10">
        <v>0</v>
      </c>
      <c r="H46" s="10">
        <f>I46</f>
        <v>100153.52043880228</v>
      </c>
      <c r="I46" s="10">
        <f>'Cash Flow Analysis'!E21</f>
        <v>100153.52043880228</v>
      </c>
      <c r="J46" s="25"/>
    </row>
    <row r="47" spans="3:10">
      <c r="C47" s="32" t="s">
        <v>26</v>
      </c>
      <c r="D47" s="21">
        <f>SUM(D43:D46)</f>
        <v>1944.5973996703738</v>
      </c>
      <c r="E47" s="21">
        <f t="shared" ref="E47:H47" si="15">SUM(E43:E46)</f>
        <v>1954.8068801679015</v>
      </c>
      <c r="F47" s="21">
        <f t="shared" si="15"/>
        <v>1965.0929317691612</v>
      </c>
      <c r="G47" s="21">
        <f t="shared" si="15"/>
        <v>1975.4561287574297</v>
      </c>
      <c r="H47" s="21">
        <f t="shared" si="15"/>
        <v>102139.41748852539</v>
      </c>
      <c r="I47" s="21">
        <f>'Cash Flow Analysis'!E22</f>
        <v>313312.00050633075</v>
      </c>
      <c r="J47" s="25"/>
    </row>
    <row r="48" spans="3:10">
      <c r="C48" s="25"/>
      <c r="J48" s="25"/>
    </row>
    <row r="49" spans="3:10">
      <c r="C49" s="37" t="s">
        <v>27</v>
      </c>
      <c r="D49" s="20">
        <f>D40-D47</f>
        <v>10840.546480392939</v>
      </c>
      <c r="E49" s="20">
        <f t="shared" ref="E49:H49" si="16">E40-E47</f>
        <v>10849.912039422183</v>
      </c>
      <c r="F49" s="20">
        <f t="shared" si="16"/>
        <v>10859.277598451412</v>
      </c>
      <c r="G49" s="20">
        <f t="shared" si="16"/>
        <v>10868.643157480652</v>
      </c>
      <c r="H49" s="20">
        <f t="shared" si="16"/>
        <v>-89275.511722292387</v>
      </c>
      <c r="I49" s="40">
        <f>'Cash Flow Analysis'!E24</f>
        <v>139764.45726338681</v>
      </c>
      <c r="J49" s="25"/>
    </row>
    <row r="50" spans="3:10">
      <c r="C50" s="37" t="s">
        <v>6</v>
      </c>
      <c r="D50" s="20">
        <f>J25+D49</f>
        <v>196462.13619032488</v>
      </c>
      <c r="E50" s="20">
        <f>D50+E49</f>
        <v>207312.04822974704</v>
      </c>
      <c r="F50" s="20">
        <f t="shared" ref="F50:H50" si="17">E50+F49</f>
        <v>218171.32582819846</v>
      </c>
      <c r="G50" s="20">
        <f t="shared" si="17"/>
        <v>229039.96898567912</v>
      </c>
      <c r="H50" s="20">
        <f t="shared" si="17"/>
        <v>139764.45726338675</v>
      </c>
      <c r="I50" s="40">
        <f>'Cash Flow Analysis'!E25</f>
        <v>139764.45726338681</v>
      </c>
      <c r="J50" s="25"/>
    </row>
    <row r="56" spans="3:10">
      <c r="C56" s="6" t="s">
        <v>66</v>
      </c>
      <c r="D56" s="6"/>
      <c r="E56" s="6"/>
      <c r="F56" s="6"/>
      <c r="G56" s="6"/>
      <c r="H56" s="6"/>
    </row>
    <row r="57" spans="3:10">
      <c r="C57" s="24" t="s">
        <v>74</v>
      </c>
      <c r="D57" s="18">
        <v>1</v>
      </c>
      <c r="E57" s="18">
        <v>2</v>
      </c>
      <c r="F57" s="18">
        <v>3</v>
      </c>
      <c r="G57" s="18">
        <v>4</v>
      </c>
      <c r="H57" s="18" t="s">
        <v>3</v>
      </c>
    </row>
    <row r="58" spans="3:10">
      <c r="C58" s="36" t="s">
        <v>67</v>
      </c>
      <c r="D58" s="43">
        <f>'Expanded Profit and Loss'!C84+'Expanded Profit and Loss'!C83</f>
        <v>42765.806442705929</v>
      </c>
      <c r="E58" s="43">
        <f>'Expanded Profit and Loss'!D84+'Expanded Profit and Loss'!D83</f>
        <v>42862.629256950262</v>
      </c>
      <c r="F58" s="43">
        <f>'Expanded Profit and Loss'!E84+'Expanded Profit and Loss'!E83</f>
        <v>42961.646964212123</v>
      </c>
      <c r="G58" s="43">
        <f>'Expanded Profit and Loss'!F84+'Expanded Profit and Loss'!F83</f>
        <v>43062.909320898572</v>
      </c>
      <c r="H58" s="41">
        <f>'Cash Flow Analysis'!F6</f>
        <v>171652.99198476688</v>
      </c>
    </row>
    <row r="59" spans="3:10">
      <c r="C59" s="25"/>
      <c r="D59" s="25"/>
      <c r="E59" s="25"/>
      <c r="F59" s="25"/>
      <c r="G59" s="25"/>
      <c r="H59" s="25"/>
    </row>
    <row r="60" spans="3:10">
      <c r="C60" s="30" t="s">
        <v>19</v>
      </c>
      <c r="D60" s="30"/>
      <c r="E60" s="30"/>
      <c r="F60" s="30"/>
      <c r="G60" s="30"/>
      <c r="H60" s="30"/>
    </row>
    <row r="61" spans="3:10">
      <c r="C61" s="9" t="s">
        <v>20</v>
      </c>
      <c r="D61" s="44">
        <f>H61</f>
        <v>0</v>
      </c>
      <c r="E61" s="44">
        <v>0</v>
      </c>
      <c r="F61" s="44">
        <v>0</v>
      </c>
      <c r="G61" s="44">
        <v>0</v>
      </c>
      <c r="H61" s="10">
        <f>'Cash Flow Analysis'!F9</f>
        <v>0</v>
      </c>
    </row>
    <row r="62" spans="3:10">
      <c r="C62" s="26" t="s">
        <v>21</v>
      </c>
      <c r="D62" s="45">
        <f>H62</f>
        <v>0</v>
      </c>
      <c r="E62" s="45">
        <v>0</v>
      </c>
      <c r="F62" s="45">
        <v>0</v>
      </c>
      <c r="G62" s="45">
        <v>0</v>
      </c>
      <c r="H62" s="27">
        <f>'Cash Flow Analysis'!F10</f>
        <v>0</v>
      </c>
    </row>
    <row r="63" spans="3:10">
      <c r="C63" s="9" t="s">
        <v>22</v>
      </c>
      <c r="D63" s="44">
        <f>$H$63/4</f>
        <v>2550</v>
      </c>
      <c r="E63" s="44">
        <f>$H$63/4</f>
        <v>2550</v>
      </c>
      <c r="F63" s="44">
        <f>$H$63/4</f>
        <v>2550</v>
      </c>
      <c r="G63" s="44">
        <f>$H$63/4</f>
        <v>2550</v>
      </c>
      <c r="H63" s="10">
        <f>'Cash Flow Analysis'!F11</f>
        <v>10200</v>
      </c>
    </row>
    <row r="64" spans="3:10">
      <c r="C64" s="32" t="s">
        <v>23</v>
      </c>
      <c r="D64" s="46">
        <f>SUM(D61:D63)</f>
        <v>2550</v>
      </c>
      <c r="E64" s="46">
        <f t="shared" ref="E64:G64" si="18">SUM(E61:E63)</f>
        <v>2550</v>
      </c>
      <c r="F64" s="46">
        <f t="shared" si="18"/>
        <v>2550</v>
      </c>
      <c r="G64" s="46">
        <f t="shared" si="18"/>
        <v>2550</v>
      </c>
      <c r="H64" s="27">
        <f>'Cash Flow Analysis'!F12</f>
        <v>10200</v>
      </c>
    </row>
    <row r="65" spans="3:8">
      <c r="C65" s="25"/>
      <c r="D65" s="25"/>
      <c r="E65" s="25"/>
      <c r="F65" s="25"/>
      <c r="G65" s="25"/>
      <c r="H65" s="25"/>
    </row>
    <row r="66" spans="3:8">
      <c r="C66" s="25"/>
      <c r="D66" s="25"/>
      <c r="E66" s="25"/>
      <c r="F66" s="25"/>
      <c r="G66" s="25"/>
      <c r="H66" s="25"/>
    </row>
    <row r="67" spans="3:8">
      <c r="C67" s="36" t="s">
        <v>18</v>
      </c>
      <c r="D67" s="43">
        <f>D58+D64</f>
        <v>45315.806442705929</v>
      </c>
      <c r="E67" s="43">
        <f t="shared" ref="E67:G67" si="19">E58+E64</f>
        <v>45412.629256950262</v>
      </c>
      <c r="F67" s="43">
        <f t="shared" si="19"/>
        <v>45511.646964212123</v>
      </c>
      <c r="G67" s="43">
        <f t="shared" si="19"/>
        <v>45612.909320898572</v>
      </c>
      <c r="H67" s="22">
        <f>'Cash Flow Analysis'!F15</f>
        <v>181852.99198476688</v>
      </c>
    </row>
    <row r="68" spans="3:8">
      <c r="C68" s="25"/>
      <c r="D68" s="25"/>
      <c r="E68" s="25"/>
      <c r="F68" s="25"/>
      <c r="G68" s="25"/>
      <c r="H68" s="25"/>
    </row>
    <row r="69" spans="3:8">
      <c r="C69" s="25" t="s">
        <v>24</v>
      </c>
      <c r="D69" s="25"/>
      <c r="E69" s="25"/>
      <c r="F69" s="25"/>
      <c r="G69" s="25"/>
      <c r="H69" s="25"/>
    </row>
    <row r="70" spans="3:8">
      <c r="C70" s="26" t="s">
        <v>68</v>
      </c>
      <c r="D70" s="45">
        <f>SUM('Loan Amortization Table'!C26:C28)</f>
        <v>4271.122684949627</v>
      </c>
      <c r="E70" s="45">
        <f>SUM('Loan Amortization Table'!C29:C31)</f>
        <v>4367.945499193962</v>
      </c>
      <c r="F70" s="45">
        <f>SUM('Loan Amortization Table'!C32:C34)</f>
        <v>4466.9632064558218</v>
      </c>
      <c r="G70" s="45">
        <f>SUM('Loan Amortization Table'!C35:C37)</f>
        <v>4568.2255631422695</v>
      </c>
      <c r="H70" s="27">
        <f>'Cash Flow Analysis'!F18</f>
        <v>17674.256953741678</v>
      </c>
    </row>
    <row r="71" spans="3:8">
      <c r="C71" s="9" t="s">
        <v>25</v>
      </c>
      <c r="D71" s="44">
        <f>$H$71/4</f>
        <v>1785</v>
      </c>
      <c r="E71" s="44">
        <f>$H$71/4</f>
        <v>1785</v>
      </c>
      <c r="F71" s="44">
        <f>$H$71/4</f>
        <v>1785</v>
      </c>
      <c r="G71" s="44">
        <f>$H$71/4</f>
        <v>1785</v>
      </c>
      <c r="H71" s="10">
        <f>'Cash Flow Analysis'!F19</f>
        <v>7140</v>
      </c>
    </row>
    <row r="72" spans="3:8">
      <c r="C72" s="26" t="s">
        <v>33</v>
      </c>
      <c r="D72" s="45">
        <f>H72</f>
        <v>8582.6495992383443</v>
      </c>
      <c r="E72" s="45">
        <v>0</v>
      </c>
      <c r="F72" s="45">
        <v>0</v>
      </c>
      <c r="G72" s="45">
        <v>0</v>
      </c>
      <c r="H72" s="27">
        <f>'Cash Flow Analysis'!F20</f>
        <v>8582.6495992383443</v>
      </c>
    </row>
    <row r="73" spans="3:8">
      <c r="C73" s="9" t="s">
        <v>32</v>
      </c>
      <c r="D73" s="44">
        <v>0</v>
      </c>
      <c r="E73" s="44">
        <v>0</v>
      </c>
      <c r="F73" s="44">
        <v>0</v>
      </c>
      <c r="G73" s="44">
        <f>H73</f>
        <v>120157.09438933681</v>
      </c>
      <c r="H73" s="10">
        <f>'Cash Flow Analysis'!F21</f>
        <v>120157.09438933681</v>
      </c>
    </row>
    <row r="74" spans="3:8">
      <c r="C74" s="32" t="s">
        <v>26</v>
      </c>
      <c r="D74" s="46">
        <f>SUM(D70:D73)</f>
        <v>14638.772284187971</v>
      </c>
      <c r="E74" s="46">
        <f t="shared" ref="E74:G74" si="20">SUM(E70:E73)</f>
        <v>6152.945499193962</v>
      </c>
      <c r="F74" s="46">
        <f t="shared" si="20"/>
        <v>6251.9632064558218</v>
      </c>
      <c r="G74" s="46">
        <f t="shared" si="20"/>
        <v>126510.31995247908</v>
      </c>
      <c r="H74" s="29">
        <f>'Cash Flow Analysis'!F22</f>
        <v>153554.00094231684</v>
      </c>
    </row>
    <row r="75" spans="3:8">
      <c r="C75" s="25"/>
      <c r="D75" s="42"/>
      <c r="E75" s="42"/>
      <c r="F75" s="42"/>
      <c r="G75" s="42"/>
      <c r="H75" s="42"/>
    </row>
    <row r="76" spans="3:8">
      <c r="C76" s="37" t="s">
        <v>27</v>
      </c>
      <c r="D76" s="47">
        <f>D67-D74</f>
        <v>30677.034158517956</v>
      </c>
      <c r="E76" s="47">
        <f t="shared" ref="E76:G76" si="21">E67-E74</f>
        <v>39259.683757756298</v>
      </c>
      <c r="F76" s="47">
        <f t="shared" si="21"/>
        <v>39259.683757756298</v>
      </c>
      <c r="G76" s="47">
        <f t="shared" si="21"/>
        <v>-80897.410631580511</v>
      </c>
      <c r="H76" s="35">
        <f>'Cash Flow Analysis'!F24</f>
        <v>28298.991042450041</v>
      </c>
    </row>
    <row r="77" spans="3:8">
      <c r="C77" s="37" t="s">
        <v>6</v>
      </c>
      <c r="D77" s="47">
        <f>I50+D76</f>
        <v>170441.49142190476</v>
      </c>
      <c r="E77" s="47">
        <f>D77+E76</f>
        <v>209701.17517966108</v>
      </c>
      <c r="F77" s="47">
        <f t="shared" ref="F77:G77" si="22">E77+F76</f>
        <v>248960.85893741739</v>
      </c>
      <c r="G77" s="47">
        <f t="shared" si="22"/>
        <v>168063.44830583688</v>
      </c>
      <c r="H77" s="35">
        <f>'Cash Flow Analysis'!F25</f>
        <v>168063.44830583685</v>
      </c>
    </row>
    <row r="82" spans="3:8">
      <c r="C82" s="6" t="s">
        <v>66</v>
      </c>
      <c r="D82" s="6"/>
      <c r="E82" s="6"/>
      <c r="F82" s="6"/>
      <c r="G82" s="6"/>
      <c r="H82" s="6"/>
    </row>
    <row r="83" spans="3:8">
      <c r="C83" s="24" t="s">
        <v>74</v>
      </c>
      <c r="D83" s="18">
        <v>1</v>
      </c>
      <c r="E83" s="18">
        <v>2</v>
      </c>
      <c r="F83" s="18">
        <v>3</v>
      </c>
      <c r="G83" s="18">
        <v>4</v>
      </c>
      <c r="H83" s="18" t="s">
        <v>4</v>
      </c>
    </row>
    <row r="84" spans="3:8">
      <c r="C84" s="36" t="s">
        <v>67</v>
      </c>
      <c r="D84" s="43">
        <f>'Expanded Profit and Loss'!C114+'Expanded Profit and Loss'!C113</f>
        <v>50449.699125925188</v>
      </c>
      <c r="E84" s="43">
        <f>'Expanded Profit and Loss'!D114+'Expanded Profit and Loss'!D113</f>
        <v>50555.604587997557</v>
      </c>
      <c r="F84" s="43">
        <f>'Expanded Profit and Loss'!E114+'Expanded Profit and Loss'!E113</f>
        <v>50663.910839192147</v>
      </c>
      <c r="G84" s="43">
        <f>'Expanded Profit and Loss'!F114+'Expanded Profit and Loss'!F113</f>
        <v>50774.672303410203</v>
      </c>
      <c r="H84" s="22">
        <f>'Cash Flow Analysis'!G6</f>
        <v>202443.88685652509</v>
      </c>
    </row>
    <row r="85" spans="3:8">
      <c r="C85" s="25"/>
      <c r="D85" s="25"/>
      <c r="E85" s="25"/>
      <c r="F85" s="25"/>
      <c r="G85" s="25"/>
      <c r="H85" s="25"/>
    </row>
    <row r="86" spans="3:8">
      <c r="C86" s="30" t="s">
        <v>19</v>
      </c>
      <c r="D86" s="30"/>
      <c r="E86" s="30"/>
      <c r="F86" s="30"/>
      <c r="G86" s="30"/>
      <c r="H86" s="30"/>
    </row>
    <row r="87" spans="3:8">
      <c r="C87" s="9" t="s">
        <v>20</v>
      </c>
      <c r="D87" s="44">
        <f>H87</f>
        <v>0</v>
      </c>
      <c r="E87" s="44">
        <v>0</v>
      </c>
      <c r="F87" s="44">
        <v>0</v>
      </c>
      <c r="G87" s="44">
        <v>0</v>
      </c>
      <c r="H87" s="10">
        <f>'Cash Flow Analysis'!G9</f>
        <v>0</v>
      </c>
    </row>
    <row r="88" spans="3:8">
      <c r="C88" s="26" t="s">
        <v>21</v>
      </c>
      <c r="D88" s="45">
        <f>H88</f>
        <v>0</v>
      </c>
      <c r="E88" s="45">
        <v>0</v>
      </c>
      <c r="F88" s="45">
        <v>0</v>
      </c>
      <c r="G88" s="45">
        <v>0</v>
      </c>
      <c r="H88" s="27">
        <f>'Cash Flow Analysis'!G10</f>
        <v>0</v>
      </c>
    </row>
    <row r="89" spans="3:8">
      <c r="C89" s="9" t="s">
        <v>22</v>
      </c>
      <c r="D89" s="44">
        <f>$H$89/4</f>
        <v>2601</v>
      </c>
      <c r="E89" s="44">
        <f>$H$89/4</f>
        <v>2601</v>
      </c>
      <c r="F89" s="44">
        <f>$H$89/4</f>
        <v>2601</v>
      </c>
      <c r="G89" s="44">
        <f>$H$89/4</f>
        <v>2601</v>
      </c>
      <c r="H89" s="10">
        <f>'Cash Flow Analysis'!G12</f>
        <v>10404</v>
      </c>
    </row>
    <row r="90" spans="3:8">
      <c r="C90" s="32" t="s">
        <v>23</v>
      </c>
      <c r="D90" s="46">
        <f>SUM(D87:D89)</f>
        <v>2601</v>
      </c>
      <c r="E90" s="46">
        <f t="shared" ref="E90:G90" si="23">SUM(E87:E89)</f>
        <v>2601</v>
      </c>
      <c r="F90" s="46">
        <f t="shared" si="23"/>
        <v>2601</v>
      </c>
      <c r="G90" s="46">
        <f t="shared" si="23"/>
        <v>2601</v>
      </c>
      <c r="H90" s="29">
        <f>'Cash Flow Analysis'!G12</f>
        <v>10404</v>
      </c>
    </row>
    <row r="91" spans="3:8">
      <c r="C91" s="25"/>
      <c r="D91" s="25"/>
      <c r="E91" s="25"/>
      <c r="F91" s="25"/>
      <c r="G91" s="25"/>
      <c r="H91" s="25"/>
    </row>
    <row r="92" spans="3:8">
      <c r="C92" s="25"/>
      <c r="D92" s="25"/>
      <c r="E92" s="25"/>
      <c r="F92" s="25"/>
      <c r="G92" s="25"/>
      <c r="H92" s="25"/>
    </row>
    <row r="93" spans="3:8">
      <c r="C93" s="36" t="s">
        <v>18</v>
      </c>
      <c r="D93" s="43">
        <f>D90+D84</f>
        <v>53050.699125925188</v>
      </c>
      <c r="E93" s="43">
        <f t="shared" ref="E93:G93" si="24">E90+E84</f>
        <v>53156.604587997557</v>
      </c>
      <c r="F93" s="43">
        <f t="shared" si="24"/>
        <v>53264.910839192147</v>
      </c>
      <c r="G93" s="43">
        <f t="shared" si="24"/>
        <v>53375.672303410203</v>
      </c>
      <c r="H93" s="22">
        <f>'Cash Flow Analysis'!G15</f>
        <v>212847.88685652509</v>
      </c>
    </row>
    <row r="94" spans="3:8">
      <c r="C94" s="25"/>
      <c r="D94" s="25"/>
      <c r="E94" s="25"/>
      <c r="F94" s="25"/>
      <c r="G94" s="25"/>
      <c r="H94" s="25"/>
    </row>
    <row r="95" spans="3:8">
      <c r="C95" s="25" t="s">
        <v>24</v>
      </c>
      <c r="D95" s="25"/>
      <c r="E95" s="25"/>
      <c r="F95" s="25"/>
      <c r="G95" s="25"/>
      <c r="H95" s="25"/>
    </row>
    <row r="96" spans="3:8">
      <c r="C96" s="26" t="s">
        <v>68</v>
      </c>
      <c r="D96" s="45">
        <f>SUM('Loan Amortization Table'!C38:C40)</f>
        <v>4671.7834535969105</v>
      </c>
      <c r="E96" s="45">
        <f>SUM('Loan Amortization Table'!C41:C43)</f>
        <v>4777.6889156692787</v>
      </c>
      <c r="F96" s="45">
        <f>SUM('Loan Amortization Table'!C44:C46)</f>
        <v>4885.9951668638687</v>
      </c>
      <c r="G96" s="45">
        <f>SUM('Loan Amortization Table'!C47:C49)</f>
        <v>4996.7566310819248</v>
      </c>
      <c r="H96" s="27">
        <f>'Cash Flow Analysis'!G18</f>
        <v>19332.224167211985</v>
      </c>
    </row>
    <row r="97" spans="3:8">
      <c r="C97" s="9" t="s">
        <v>25</v>
      </c>
      <c r="D97" s="44">
        <f>$H$97/4</f>
        <v>1820.6999999999998</v>
      </c>
      <c r="E97" s="44">
        <f t="shared" ref="E97:G97" si="25">$H$97/4</f>
        <v>1820.6999999999998</v>
      </c>
      <c r="F97" s="44">
        <f t="shared" si="25"/>
        <v>1820.6999999999998</v>
      </c>
      <c r="G97" s="44">
        <f t="shared" si="25"/>
        <v>1820.6999999999998</v>
      </c>
      <c r="H97" s="10">
        <f>'Cash Flow Analysis'!G19</f>
        <v>7282.7999999999993</v>
      </c>
    </row>
    <row r="98" spans="3:8">
      <c r="C98" s="26" t="s">
        <v>33</v>
      </c>
      <c r="D98" s="45">
        <f>H98</f>
        <v>10122.194342826255</v>
      </c>
      <c r="E98" s="45">
        <v>0</v>
      </c>
      <c r="F98" s="45">
        <v>0</v>
      </c>
      <c r="G98" s="45">
        <v>0</v>
      </c>
      <c r="H98" s="27">
        <f>'Cash Flow Analysis'!G20</f>
        <v>10122.194342826255</v>
      </c>
    </row>
    <row r="99" spans="3:8">
      <c r="C99" s="9" t="s">
        <v>32</v>
      </c>
      <c r="D99" s="44">
        <v>0</v>
      </c>
      <c r="E99" s="44">
        <v>0</v>
      </c>
      <c r="F99" s="44">
        <v>0</v>
      </c>
      <c r="G99" s="44">
        <f>H99</f>
        <v>141710.72079956756</v>
      </c>
      <c r="H99" s="10">
        <f>'Cash Flow Analysis'!G21</f>
        <v>141710.72079956756</v>
      </c>
    </row>
    <row r="100" spans="3:8">
      <c r="C100" s="32" t="s">
        <v>26</v>
      </c>
      <c r="D100" s="46">
        <f>SUM(D96:D99)</f>
        <v>16614.677796423166</v>
      </c>
      <c r="E100" s="46">
        <f t="shared" ref="E100:G100" si="26">SUM(E96:E99)</f>
        <v>6598.3889156692785</v>
      </c>
      <c r="F100" s="46">
        <f t="shared" si="26"/>
        <v>6706.6951668638685</v>
      </c>
      <c r="G100" s="46">
        <f t="shared" si="26"/>
        <v>148528.17743064949</v>
      </c>
      <c r="H100" s="29">
        <f>'Cash Flow Analysis'!G22</f>
        <v>178447.9393096058</v>
      </c>
    </row>
    <row r="101" spans="3:8">
      <c r="C101" s="25"/>
      <c r="D101" s="25"/>
      <c r="E101" s="25"/>
      <c r="F101" s="25"/>
      <c r="G101" s="25"/>
      <c r="H101" s="25"/>
    </row>
    <row r="102" spans="3:8">
      <c r="C102" s="37" t="s">
        <v>27</v>
      </c>
      <c r="D102" s="47">
        <f>D93-D100</f>
        <v>36436.021329502022</v>
      </c>
      <c r="E102" s="47">
        <f t="shared" ref="E102:G102" si="27">E93-E100</f>
        <v>46558.215672328282</v>
      </c>
      <c r="F102" s="47">
        <f t="shared" si="27"/>
        <v>46558.215672328282</v>
      </c>
      <c r="G102" s="47">
        <f t="shared" si="27"/>
        <v>-95152.505127239288</v>
      </c>
      <c r="H102" s="35">
        <f>'Cash Flow Analysis'!G24</f>
        <v>34399.947546919284</v>
      </c>
    </row>
    <row r="103" spans="3:8">
      <c r="C103" s="37" t="s">
        <v>6</v>
      </c>
      <c r="D103" s="47">
        <f>G77+D102</f>
        <v>204499.4696353389</v>
      </c>
      <c r="E103" s="47">
        <f>D103+E102</f>
        <v>251057.68530766718</v>
      </c>
      <c r="F103" s="47">
        <f t="shared" ref="F103:G103" si="28">E103+F102</f>
        <v>297615.90097999549</v>
      </c>
      <c r="G103" s="47">
        <f t="shared" si="28"/>
        <v>202463.39585275622</v>
      </c>
      <c r="H103" s="35">
        <f>'Cash Flow Analysis'!G25</f>
        <v>202463.39585275613</v>
      </c>
    </row>
    <row r="106" spans="3:8">
      <c r="C106" s="107"/>
      <c r="D106" s="107"/>
      <c r="E106" s="107"/>
      <c r="F106" s="107"/>
      <c r="G106" s="107"/>
      <c r="H106" s="107"/>
    </row>
    <row r="107" spans="3:8">
      <c r="D107" s="114"/>
      <c r="E107" s="114"/>
      <c r="F107" s="114"/>
      <c r="G107" s="114"/>
      <c r="H107" s="114"/>
    </row>
    <row r="108" spans="3:8">
      <c r="C108" s="118"/>
      <c r="D108" s="117"/>
      <c r="E108" s="117"/>
      <c r="F108" s="117"/>
      <c r="G108" s="117"/>
      <c r="H108" s="117"/>
    </row>
    <row r="110" spans="3:8">
      <c r="C110" s="118"/>
      <c r="D110" s="118"/>
      <c r="E110" s="118"/>
      <c r="F110" s="118"/>
      <c r="G110" s="118"/>
      <c r="H110" s="118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18"/>
      <c r="D114" s="117"/>
      <c r="E114" s="117"/>
      <c r="F114" s="117"/>
      <c r="G114" s="117"/>
      <c r="H114" s="117"/>
    </row>
    <row r="117" spans="3:10">
      <c r="C117" s="118"/>
      <c r="D117" s="117"/>
      <c r="E117" s="117"/>
      <c r="F117" s="117"/>
      <c r="G117" s="117"/>
      <c r="H117" s="117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18"/>
      <c r="D124" s="117"/>
      <c r="E124" s="117"/>
      <c r="F124" s="117"/>
      <c r="G124" s="117"/>
      <c r="H124" s="117"/>
    </row>
    <row r="126" spans="3:10">
      <c r="C126" s="118"/>
      <c r="D126" s="117"/>
      <c r="E126" s="117"/>
      <c r="F126" s="117"/>
      <c r="G126" s="117"/>
      <c r="H126" s="117"/>
    </row>
    <row r="127" spans="3:10">
      <c r="C127" s="118"/>
      <c r="D127" s="117"/>
      <c r="E127" s="117"/>
      <c r="F127" s="117"/>
      <c r="G127" s="117"/>
      <c r="H127" s="117"/>
    </row>
    <row r="128" spans="3:10">
      <c r="J128" s="1"/>
    </row>
    <row r="130" spans="3:8">
      <c r="C130" s="107"/>
      <c r="D130" s="107"/>
      <c r="E130" s="107"/>
      <c r="F130" s="107"/>
      <c r="G130" s="107"/>
      <c r="H130" s="107"/>
    </row>
    <row r="131" spans="3:8">
      <c r="D131" s="114"/>
      <c r="E131" s="114"/>
      <c r="F131" s="114"/>
      <c r="G131" s="114"/>
      <c r="H131" s="114"/>
    </row>
    <row r="132" spans="3:8">
      <c r="C132" s="118"/>
      <c r="D132" s="117"/>
      <c r="E132" s="117"/>
      <c r="F132" s="117"/>
      <c r="G132" s="117"/>
      <c r="H132" s="117"/>
    </row>
    <row r="134" spans="3:8">
      <c r="C134" s="118"/>
      <c r="D134" s="118"/>
      <c r="E134" s="118"/>
      <c r="F134" s="118"/>
      <c r="G134" s="118"/>
      <c r="H134" s="118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18"/>
      <c r="D138" s="117"/>
      <c r="E138" s="117"/>
      <c r="F138" s="117"/>
      <c r="G138" s="117"/>
      <c r="H138" s="117"/>
    </row>
    <row r="141" spans="3:8">
      <c r="C141" s="118"/>
      <c r="D141" s="117"/>
      <c r="E141" s="117"/>
      <c r="F141" s="117"/>
      <c r="G141" s="117"/>
      <c r="H141" s="117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18"/>
      <c r="D148" s="117"/>
      <c r="E148" s="117"/>
      <c r="F148" s="117"/>
      <c r="G148" s="117"/>
      <c r="H148" s="117"/>
    </row>
    <row r="150" spans="3:8">
      <c r="C150" s="118"/>
      <c r="D150" s="117"/>
      <c r="E150" s="117"/>
      <c r="F150" s="117"/>
      <c r="G150" s="117"/>
      <c r="H150" s="117"/>
    </row>
    <row r="151" spans="3:8">
      <c r="C151" s="118"/>
      <c r="D151" s="117"/>
      <c r="E151" s="117"/>
      <c r="F151" s="117"/>
      <c r="G151" s="117"/>
      <c r="H151" s="117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O32" sqref="O32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59" t="s">
        <v>56</v>
      </c>
      <c r="F3" s="60"/>
      <c r="G3" s="60"/>
      <c r="H3" s="60"/>
      <c r="I3" s="58"/>
      <c r="J3" s="59" t="s">
        <v>56</v>
      </c>
      <c r="K3" s="60"/>
      <c r="L3" s="60"/>
      <c r="M3" s="60"/>
    </row>
    <row r="4" spans="5:13">
      <c r="E4" s="92" t="s">
        <v>9</v>
      </c>
      <c r="F4" s="93">
        <v>1</v>
      </c>
      <c r="G4" s="93">
        <v>2</v>
      </c>
      <c r="H4" s="97">
        <v>3</v>
      </c>
      <c r="I4" s="121"/>
      <c r="J4" s="92" t="s">
        <v>9</v>
      </c>
      <c r="K4" s="93">
        <v>1</v>
      </c>
      <c r="L4" s="93">
        <v>2</v>
      </c>
      <c r="M4" s="97">
        <v>3</v>
      </c>
    </row>
    <row r="5" spans="5:13">
      <c r="E5" s="103" t="s">
        <v>55</v>
      </c>
      <c r="F5" s="104">
        <v>0</v>
      </c>
      <c r="G5" s="104">
        <f>Inputs!C46</f>
        <v>7.0000000000000007E-2</v>
      </c>
      <c r="H5" s="104">
        <f>Inputs!C47</f>
        <v>7.0000000000000007E-2</v>
      </c>
      <c r="I5" s="120"/>
      <c r="J5" s="103"/>
      <c r="K5" s="104"/>
      <c r="L5" s="104"/>
      <c r="M5" s="104"/>
    </row>
    <row r="6" spans="5:13">
      <c r="E6" s="89" t="str">
        <f>Inputs!B5</f>
        <v>Tuition</v>
      </c>
      <c r="F6" s="89">
        <f>SUM(Inputs!C32:N32)</f>
        <v>900660</v>
      </c>
      <c r="G6" s="89">
        <f t="shared" ref="G6:H15" si="0">F6*(1+G$5)</f>
        <v>963706.20000000007</v>
      </c>
      <c r="H6" s="89">
        <f t="shared" si="0"/>
        <v>1031165.6340000001</v>
      </c>
      <c r="I6" s="122"/>
      <c r="J6" s="89" t="str">
        <f>E6</f>
        <v>Tuition</v>
      </c>
      <c r="K6" s="135">
        <f>F6/$F$16</f>
        <v>0.95238095238095233</v>
      </c>
      <c r="L6" s="135">
        <f>G6/$G$16</f>
        <v>0.95238095238095233</v>
      </c>
      <c r="M6" s="135">
        <f>H6/$H$16</f>
        <v>0.95238095238095244</v>
      </c>
    </row>
    <row r="7" spans="5:13">
      <c r="E7" s="89" t="str">
        <f>Inputs!B6</f>
        <v>Registration Fees</v>
      </c>
      <c r="F7" s="89">
        <f>SUM(Inputs!C33:N33)</f>
        <v>45033</v>
      </c>
      <c r="G7" s="89">
        <f t="shared" si="0"/>
        <v>48185.310000000005</v>
      </c>
      <c r="H7" s="89">
        <f t="shared" si="0"/>
        <v>51558.281700000007</v>
      </c>
      <c r="I7" s="122"/>
      <c r="J7" s="89" t="str">
        <f t="shared" ref="J7:J15" si="1">E7</f>
        <v>Registration Fees</v>
      </c>
      <c r="K7" s="135">
        <f t="shared" ref="K7:K15" si="2">F7/$F$16</f>
        <v>4.7619047619047616E-2</v>
      </c>
      <c r="L7" s="135">
        <f t="shared" ref="L7:L15" si="3">G7/$G$16</f>
        <v>4.7619047619047616E-2</v>
      </c>
      <c r="M7" s="135">
        <f t="shared" ref="M7:M15" si="4">H7/$H$16</f>
        <v>4.7619047619047623E-2</v>
      </c>
    </row>
    <row r="8" spans="5:13">
      <c r="E8" s="89" t="str">
        <f>Inputs!B7</f>
        <v>Item 3</v>
      </c>
      <c r="F8" s="89">
        <f>SUM(Inputs!C34:N34)</f>
        <v>0</v>
      </c>
      <c r="G8" s="89">
        <f t="shared" si="0"/>
        <v>0</v>
      </c>
      <c r="H8" s="89">
        <f t="shared" si="0"/>
        <v>0</v>
      </c>
      <c r="I8" s="122"/>
      <c r="J8" s="89" t="str">
        <f t="shared" si="1"/>
        <v>Item 3</v>
      </c>
      <c r="K8" s="135">
        <f t="shared" si="2"/>
        <v>0</v>
      </c>
      <c r="L8" s="135">
        <f t="shared" si="3"/>
        <v>0</v>
      </c>
      <c r="M8" s="135">
        <f t="shared" si="4"/>
        <v>0</v>
      </c>
    </row>
    <row r="9" spans="5:13">
      <c r="E9" s="89" t="str">
        <f>Inputs!B8</f>
        <v>Item 4</v>
      </c>
      <c r="F9" s="89">
        <f>SUM(Inputs!C35:N35)</f>
        <v>0</v>
      </c>
      <c r="G9" s="89">
        <f t="shared" si="0"/>
        <v>0</v>
      </c>
      <c r="H9" s="89">
        <f t="shared" si="0"/>
        <v>0</v>
      </c>
      <c r="I9" s="122"/>
      <c r="J9" s="89" t="str">
        <f t="shared" si="1"/>
        <v>Item 4</v>
      </c>
      <c r="K9" s="135">
        <f t="shared" si="2"/>
        <v>0</v>
      </c>
      <c r="L9" s="135">
        <f t="shared" si="3"/>
        <v>0</v>
      </c>
      <c r="M9" s="135">
        <f t="shared" si="4"/>
        <v>0</v>
      </c>
    </row>
    <row r="10" spans="5:13">
      <c r="E10" s="89" t="str">
        <f>Inputs!B9</f>
        <v>Item 5</v>
      </c>
      <c r="F10" s="89">
        <f>SUM(Inputs!C36:N36)</f>
        <v>0</v>
      </c>
      <c r="G10" s="89">
        <f t="shared" si="0"/>
        <v>0</v>
      </c>
      <c r="H10" s="89">
        <f t="shared" si="0"/>
        <v>0</v>
      </c>
      <c r="I10" s="122"/>
      <c r="J10" s="89" t="str">
        <f t="shared" si="1"/>
        <v>Item 5</v>
      </c>
      <c r="K10" s="135">
        <f t="shared" si="2"/>
        <v>0</v>
      </c>
      <c r="L10" s="135">
        <f t="shared" si="3"/>
        <v>0</v>
      </c>
      <c r="M10" s="135">
        <f t="shared" si="4"/>
        <v>0</v>
      </c>
    </row>
    <row r="11" spans="5:13">
      <c r="E11" s="89" t="str">
        <f>Inputs!B10</f>
        <v>Item 6</v>
      </c>
      <c r="F11" s="89">
        <f>SUM(Inputs!C37:N37)</f>
        <v>0</v>
      </c>
      <c r="G11" s="89">
        <f t="shared" si="0"/>
        <v>0</v>
      </c>
      <c r="H11" s="89">
        <f t="shared" si="0"/>
        <v>0</v>
      </c>
      <c r="I11" s="122"/>
      <c r="J11" s="89" t="str">
        <f t="shared" si="1"/>
        <v>Item 6</v>
      </c>
      <c r="K11" s="135">
        <f t="shared" si="2"/>
        <v>0</v>
      </c>
      <c r="L11" s="135">
        <f t="shared" si="3"/>
        <v>0</v>
      </c>
      <c r="M11" s="135">
        <f t="shared" si="4"/>
        <v>0</v>
      </c>
    </row>
    <row r="12" spans="5:13">
      <c r="E12" s="89" t="str">
        <f>Inputs!B11</f>
        <v>Item 7</v>
      </c>
      <c r="F12" s="89">
        <f>SUM(Inputs!C38:N38)</f>
        <v>0</v>
      </c>
      <c r="G12" s="89">
        <f t="shared" si="0"/>
        <v>0</v>
      </c>
      <c r="H12" s="89">
        <f t="shared" si="0"/>
        <v>0</v>
      </c>
      <c r="I12" s="122"/>
      <c r="J12" s="89" t="str">
        <f t="shared" si="1"/>
        <v>Item 7</v>
      </c>
      <c r="K12" s="135">
        <f t="shared" si="2"/>
        <v>0</v>
      </c>
      <c r="L12" s="135">
        <f t="shared" si="3"/>
        <v>0</v>
      </c>
      <c r="M12" s="135">
        <f t="shared" si="4"/>
        <v>0</v>
      </c>
    </row>
    <row r="13" spans="5:13">
      <c r="E13" s="89" t="str">
        <f>Inputs!B12</f>
        <v>Item 8</v>
      </c>
      <c r="F13" s="89">
        <f>SUM(Inputs!C39:N39)</f>
        <v>0</v>
      </c>
      <c r="G13" s="89">
        <f t="shared" si="0"/>
        <v>0</v>
      </c>
      <c r="H13" s="89">
        <f t="shared" si="0"/>
        <v>0</v>
      </c>
      <c r="I13" s="122"/>
      <c r="J13" s="89" t="str">
        <f t="shared" si="1"/>
        <v>Item 8</v>
      </c>
      <c r="K13" s="135">
        <f t="shared" si="2"/>
        <v>0</v>
      </c>
      <c r="L13" s="135">
        <f t="shared" si="3"/>
        <v>0</v>
      </c>
      <c r="M13" s="135">
        <f t="shared" si="4"/>
        <v>0</v>
      </c>
    </row>
    <row r="14" spans="5:13">
      <c r="E14" s="89" t="str">
        <f>Inputs!B13</f>
        <v>Item 9</v>
      </c>
      <c r="F14" s="89">
        <f>SUM(Inputs!C40:N40)</f>
        <v>0</v>
      </c>
      <c r="G14" s="89">
        <f t="shared" si="0"/>
        <v>0</v>
      </c>
      <c r="H14" s="89">
        <f t="shared" si="0"/>
        <v>0</v>
      </c>
      <c r="I14" s="122"/>
      <c r="J14" s="89" t="str">
        <f t="shared" si="1"/>
        <v>Item 9</v>
      </c>
      <c r="K14" s="135">
        <f t="shared" si="2"/>
        <v>0</v>
      </c>
      <c r="L14" s="135">
        <f t="shared" si="3"/>
        <v>0</v>
      </c>
      <c r="M14" s="135">
        <f t="shared" si="4"/>
        <v>0</v>
      </c>
    </row>
    <row r="15" spans="5:13">
      <c r="E15" s="89" t="str">
        <f>Inputs!B14</f>
        <v>Item 10</v>
      </c>
      <c r="F15" s="89">
        <f>SUM(Inputs!C41:N41)</f>
        <v>0</v>
      </c>
      <c r="G15" s="89">
        <f t="shared" si="0"/>
        <v>0</v>
      </c>
      <c r="H15" s="89">
        <f t="shared" si="0"/>
        <v>0</v>
      </c>
      <c r="I15" s="122"/>
      <c r="J15" s="89" t="str">
        <f t="shared" si="1"/>
        <v>Item 10</v>
      </c>
      <c r="K15" s="135">
        <f t="shared" si="2"/>
        <v>0</v>
      </c>
      <c r="L15" s="135">
        <f t="shared" si="3"/>
        <v>0</v>
      </c>
      <c r="M15" s="135">
        <f t="shared" si="4"/>
        <v>0</v>
      </c>
    </row>
    <row r="16" spans="5:13">
      <c r="E16" s="94" t="s">
        <v>8</v>
      </c>
      <c r="F16" s="94">
        <f>SUM(F6:F15)</f>
        <v>945693</v>
      </c>
      <c r="G16" s="94">
        <f>SUM(G6:G15)</f>
        <v>1011891.5100000001</v>
      </c>
      <c r="H16" s="94">
        <f>SUM(H6:H15)</f>
        <v>1082723.9157</v>
      </c>
      <c r="I16" s="126"/>
      <c r="J16" s="134"/>
      <c r="K16" s="134"/>
      <c r="L16" s="134"/>
      <c r="M16" s="134"/>
    </row>
    <row r="17" spans="5:13">
      <c r="E17" s="58"/>
      <c r="F17" s="58"/>
      <c r="G17" s="58"/>
      <c r="H17" s="58"/>
      <c r="I17" s="58"/>
      <c r="J17" s="58"/>
      <c r="K17" s="58"/>
      <c r="L17" s="58"/>
      <c r="M17" s="58"/>
    </row>
    <row r="18" spans="5:13">
      <c r="E18" s="59" t="s">
        <v>101</v>
      </c>
      <c r="F18" s="60"/>
      <c r="G18" s="60"/>
      <c r="H18" s="60"/>
      <c r="I18" s="58"/>
      <c r="J18" s="133"/>
      <c r="K18" s="58"/>
      <c r="L18" s="58"/>
      <c r="M18" s="58"/>
    </row>
    <row r="19" spans="5:13">
      <c r="E19" s="92" t="s">
        <v>9</v>
      </c>
      <c r="F19" s="93">
        <v>1</v>
      </c>
      <c r="G19" s="93">
        <v>2</v>
      </c>
      <c r="H19" s="97">
        <v>3</v>
      </c>
      <c r="I19" s="121"/>
      <c r="J19" s="58"/>
      <c r="K19" s="121"/>
      <c r="L19" s="121"/>
      <c r="M19" s="121"/>
    </row>
    <row r="20" spans="5:13">
      <c r="E20" s="103" t="s">
        <v>55</v>
      </c>
      <c r="F20" s="104">
        <v>0</v>
      </c>
      <c r="G20" s="104">
        <f>G5</f>
        <v>7.0000000000000007E-2</v>
      </c>
      <c r="H20" s="104">
        <f>H5</f>
        <v>7.0000000000000007E-2</v>
      </c>
      <c r="I20" s="120"/>
      <c r="K20" s="120"/>
      <c r="L20" s="120"/>
      <c r="M20" s="120"/>
    </row>
    <row r="21" spans="5:13">
      <c r="E21" s="89" t="str">
        <f>E6</f>
        <v>Tuition</v>
      </c>
      <c r="F21" s="89">
        <f>SUM(Inputs!C51:N51)</f>
        <v>45033</v>
      </c>
      <c r="G21" s="89">
        <f t="shared" ref="G21:H30" si="5">F21*(1+G$20)</f>
        <v>48185.310000000005</v>
      </c>
      <c r="H21" s="89">
        <f t="shared" si="5"/>
        <v>51558.281700000007</v>
      </c>
      <c r="I21" s="122"/>
      <c r="J21" s="122"/>
      <c r="K21" s="122"/>
      <c r="L21" s="122"/>
      <c r="M21" s="122"/>
    </row>
    <row r="22" spans="5:13">
      <c r="E22" s="89" t="str">
        <f t="shared" ref="E22:E30" si="6">E7</f>
        <v>Registration Fees</v>
      </c>
      <c r="F22" s="89">
        <f>SUM(Inputs!C52:N52)</f>
        <v>2251.65</v>
      </c>
      <c r="G22" s="89">
        <f t="shared" si="5"/>
        <v>2409.2655000000004</v>
      </c>
      <c r="H22" s="89">
        <f t="shared" si="5"/>
        <v>2577.9140850000008</v>
      </c>
      <c r="I22" s="122"/>
      <c r="J22" s="122"/>
      <c r="K22" s="122"/>
      <c r="L22" s="122"/>
      <c r="M22" s="122"/>
    </row>
    <row r="23" spans="5:13">
      <c r="E23" s="89" t="str">
        <f t="shared" si="6"/>
        <v>Item 3</v>
      </c>
      <c r="F23" s="89">
        <f>SUM(Inputs!C53:N53)</f>
        <v>0</v>
      </c>
      <c r="G23" s="89">
        <f t="shared" si="5"/>
        <v>0</v>
      </c>
      <c r="H23" s="89">
        <f t="shared" si="5"/>
        <v>0</v>
      </c>
      <c r="I23" s="122"/>
      <c r="J23" s="122"/>
      <c r="K23" s="122"/>
      <c r="L23" s="122"/>
      <c r="M23" s="122"/>
    </row>
    <row r="24" spans="5:13">
      <c r="E24" s="89" t="str">
        <f t="shared" si="6"/>
        <v>Item 4</v>
      </c>
      <c r="F24" s="89">
        <f>SUM(Inputs!C54:N54)</f>
        <v>0</v>
      </c>
      <c r="G24" s="89">
        <f t="shared" si="5"/>
        <v>0</v>
      </c>
      <c r="H24" s="89">
        <f t="shared" si="5"/>
        <v>0</v>
      </c>
      <c r="I24" s="122"/>
      <c r="J24" s="122"/>
      <c r="K24" s="122"/>
      <c r="L24" s="122"/>
      <c r="M24" s="122"/>
    </row>
    <row r="25" spans="5:13">
      <c r="E25" s="89" t="str">
        <f t="shared" si="6"/>
        <v>Item 5</v>
      </c>
      <c r="F25" s="89">
        <f>SUM(Inputs!C55:N55)</f>
        <v>0</v>
      </c>
      <c r="G25" s="89">
        <f t="shared" si="5"/>
        <v>0</v>
      </c>
      <c r="H25" s="89">
        <f t="shared" si="5"/>
        <v>0</v>
      </c>
      <c r="I25" s="122"/>
      <c r="J25" s="122"/>
      <c r="K25" s="122"/>
      <c r="L25" s="122"/>
      <c r="M25" s="122"/>
    </row>
    <row r="26" spans="5:13">
      <c r="E26" s="89" t="str">
        <f t="shared" si="6"/>
        <v>Item 6</v>
      </c>
      <c r="F26" s="89">
        <f>SUM(Inputs!C56:N56)</f>
        <v>0</v>
      </c>
      <c r="G26" s="89">
        <f t="shared" si="5"/>
        <v>0</v>
      </c>
      <c r="H26" s="89">
        <f t="shared" si="5"/>
        <v>0</v>
      </c>
      <c r="I26" s="122"/>
      <c r="J26" s="122"/>
      <c r="K26" s="122"/>
      <c r="L26" s="122"/>
      <c r="M26" s="122"/>
    </row>
    <row r="27" spans="5:13">
      <c r="E27" s="89" t="str">
        <f t="shared" si="6"/>
        <v>Item 7</v>
      </c>
      <c r="F27" s="89">
        <f>SUM(Inputs!C57:N57)</f>
        <v>0</v>
      </c>
      <c r="G27" s="89">
        <f t="shared" si="5"/>
        <v>0</v>
      </c>
      <c r="H27" s="89">
        <f t="shared" si="5"/>
        <v>0</v>
      </c>
      <c r="I27" s="122"/>
      <c r="J27" s="122"/>
      <c r="K27" s="122"/>
      <c r="L27" s="122"/>
      <c r="M27" s="122"/>
    </row>
    <row r="28" spans="5:13">
      <c r="E28" s="89" t="str">
        <f t="shared" si="6"/>
        <v>Item 8</v>
      </c>
      <c r="F28" s="89">
        <f>SUM(Inputs!C58:N58)</f>
        <v>0</v>
      </c>
      <c r="G28" s="89">
        <f t="shared" si="5"/>
        <v>0</v>
      </c>
      <c r="H28" s="89">
        <f t="shared" si="5"/>
        <v>0</v>
      </c>
      <c r="I28" s="122"/>
      <c r="J28" s="122"/>
      <c r="K28" s="122"/>
      <c r="L28" s="122"/>
      <c r="M28" s="122"/>
    </row>
    <row r="29" spans="5:13">
      <c r="E29" s="89" t="str">
        <f t="shared" si="6"/>
        <v>Item 9</v>
      </c>
      <c r="F29" s="89">
        <f>SUM(Inputs!C59:N59)</f>
        <v>0</v>
      </c>
      <c r="G29" s="89">
        <f t="shared" si="5"/>
        <v>0</v>
      </c>
      <c r="H29" s="89">
        <f t="shared" si="5"/>
        <v>0</v>
      </c>
      <c r="I29" s="122"/>
      <c r="J29" s="122"/>
      <c r="K29" s="122"/>
      <c r="L29" s="122"/>
      <c r="M29" s="122"/>
    </row>
    <row r="30" spans="5:13">
      <c r="E30" s="89" t="str">
        <f t="shared" si="6"/>
        <v>Item 10</v>
      </c>
      <c r="F30" s="89">
        <f>SUM(Inputs!C60:N60)</f>
        <v>0</v>
      </c>
      <c r="G30" s="89">
        <f t="shared" si="5"/>
        <v>0</v>
      </c>
      <c r="H30" s="89">
        <f t="shared" si="5"/>
        <v>0</v>
      </c>
      <c r="I30" s="122"/>
      <c r="J30" s="122"/>
      <c r="K30" s="122"/>
      <c r="L30" s="122"/>
      <c r="M30" s="122"/>
    </row>
    <row r="31" spans="5:13">
      <c r="E31" s="95" t="s">
        <v>8</v>
      </c>
      <c r="F31" s="95">
        <f>SUM(F21:F30)</f>
        <v>47284.65</v>
      </c>
      <c r="G31" s="95">
        <f>SUM(G21:G30)</f>
        <v>50594.575500000006</v>
      </c>
      <c r="H31" s="95">
        <f>SUM(H21:H30)</f>
        <v>54136.195785000011</v>
      </c>
      <c r="I31" s="122"/>
      <c r="J31" s="122"/>
      <c r="K31" s="122"/>
      <c r="L31" s="122"/>
      <c r="M31" s="122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Revenue Overview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CompleteBizPlans</dc:creator>
  <cp:lastModifiedBy>Matthew Deutsch</cp:lastModifiedBy>
  <dcterms:created xsi:type="dcterms:W3CDTF">2023-03-09T18:24:03Z</dcterms:created>
  <dcterms:modified xsi:type="dcterms:W3CDTF">2025-10-03T20:23:25Z</dcterms:modified>
</cp:coreProperties>
</file>