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Notary\"/>
    </mc:Choice>
  </mc:AlternateContent>
  <xr:revisionPtr revIDLastSave="0" documentId="13_ncr:1_{E3D77642-A74F-46A1-8729-D90AA6BE6CDA}" xr6:coauthVersionLast="47" xr6:coauthVersionMax="47" xr10:uidLastSave="{00000000-0000-0000-0000-000000000000}"/>
  <bookViews>
    <workbookView xWindow="-289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C33" i="23"/>
  <c r="G8" i="14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2" i="7"/>
  <c r="L31" i="7"/>
  <c r="E9" i="4"/>
  <c r="F9" i="4" s="1"/>
  <c r="G9" i="4" s="1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G19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G8" i="7"/>
  <c r="G20" i="7" s="1"/>
  <c r="G9" i="7"/>
  <c r="L34" i="7" s="1"/>
  <c r="G6" i="7"/>
  <c r="H36" i="12" l="1"/>
  <c r="H37" i="12" s="1"/>
  <c r="F19" i="3"/>
  <c r="D33" i="23"/>
  <c r="H8" i="14"/>
  <c r="D52" i="23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G19" i="11" l="1"/>
  <c r="E61" i="23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H16" i="7"/>
  <c r="C21" i="23" s="1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D21" i="23" l="1"/>
  <c r="F17" i="2" s="1"/>
  <c r="G73" i="11" s="1"/>
  <c r="G51" i="23"/>
  <c r="E66" i="23"/>
  <c r="F42" i="23"/>
  <c r="F6" i="11" s="1"/>
  <c r="D6" i="11"/>
  <c r="D66" i="23"/>
  <c r="F61" i="23"/>
  <c r="F7" i="11" s="1"/>
  <c r="H32" i="23"/>
  <c r="H33" i="23" s="1"/>
  <c r="E17" i="2"/>
  <c r="D75" i="11"/>
  <c r="F75" i="11"/>
  <c r="E75" i="11"/>
  <c r="J16" i="7"/>
  <c r="E21" i="23" s="1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G17" i="2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<sst xmlns="http://schemas.openxmlformats.org/spreadsheetml/2006/main" count="327" uniqueCount="142">
  <si>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</si>
  <si>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</si>
  <si>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</si>
  <si>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</si>
  <si>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</si>
  <si>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</si>
  <si>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</si>
  <si>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</si>
  <si>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</si>
  <si>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</si>
  <si>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</si>
  <si>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</si>
  <si>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</si>
  <si>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</si>
  <si>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</si>
  <si>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</si>
  <si>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</si>
  <si>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</si>
  <si>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</si>
  <si>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</si>
  <si>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</si>
  <si>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</si>
  <si>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</si>
  <si>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</si>
  <si>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</si>
  <si>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</si>
  <si>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</si>
  <si>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</si>
  <si>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</si>
  <si>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</si>
  <si>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</si>
  <si>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</si>
  <si>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</si>
  <si>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</si>
  <si>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</si>
  <si>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</si>
  <si>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</si>
  <si>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</si>
  <si>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</si>
  <si>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</si>
  <si>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</si>
  <si>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</si>
  <si>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</si>
  <si>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</si>
  <si>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</si>
  <si>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</si>
  <si>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</si>
  <si>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</si>
  <si>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</si>
  <si>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</si>
  <si>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</si>
  <si>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</si>
  <si>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</si>
  <si>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</si>
  <si>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</si>
  <si>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</si>
  <si>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</si>
  <si>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</si>
  <si>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</si>
  <si>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</si>
  <si>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</si>
  <si>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</si>
  <si>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</si>
  <si>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</si>
  <si>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</si>
  <si>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</si>
  <si>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</si>
  <si>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</si>
  <si>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</si>
  <si>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</si>
  <si>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</si>
  <si>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</si>
  <si>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</si>
  <si>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</si>
  <si>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</si>
  <si>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</si>
  <si>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</si>
  <si>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</si>
  <si>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</si>
  <si>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</si>
  <si>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</si>
  <si>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</si>
  <si>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</si>
  <si>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</si>
  <si>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</si>
  <si>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</si>
  <si>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</si>
  <si>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</si>
  <si>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</si>
  <si>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</si>
  <si>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</si>
  <si>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</si>
  <si>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</si>
  <si>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</si>
  <si>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</si>
  <si>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</si>
  <si>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</si>
  <si>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</si>
  <si>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</si>
  <si>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</si>
  <si>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</si>
  <si>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</si>
  <si>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</si>
  <si>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</si>
  <si>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</si>
  <si>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</si>
  <si>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</si>
  <si>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</si>
  <si>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</si>
  <si>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</si>
  <si>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</si>
  <si>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</si>
  <si>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</si>
  <si>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</si>
  <si>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</si>
  <si>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Facility Costs</t>
  </si>
  <si>
    <t>Marketing</t>
  </si>
  <si>
    <t>Operational Managers</t>
  </si>
  <si>
    <t>Equipment Costs</t>
  </si>
  <si>
    <t>Position 6</t>
  </si>
  <si>
    <t>Position 7</t>
  </si>
  <si>
    <t>Position 8</t>
  </si>
  <si>
    <t>Position 9</t>
  </si>
  <si>
    <t>Position 10</t>
  </si>
  <si>
    <t>Postiion 7</t>
  </si>
  <si>
    <t>Postiion 8</t>
  </si>
  <si>
    <t>Postiion 9</t>
  </si>
  <si>
    <t>Fixed Assets</t>
  </si>
  <si>
    <t>Yearly Growth Rate</t>
  </si>
  <si>
    <t>Administrative Staff</t>
  </si>
  <si>
    <t>Furniture, Fixtures, and Equipment</t>
  </si>
  <si>
    <t>Location Development</t>
  </si>
  <si>
    <t>Scheduling Staff</t>
  </si>
  <si>
    <t>Staff Notaries</t>
  </si>
  <si>
    <t>Notary Services</t>
  </si>
  <si>
    <t>Travel Fees and Support Services</t>
  </si>
  <si>
    <t>Revolving Line of Credit</t>
  </si>
  <si>
    <t>Marketing Campaigns</t>
  </si>
  <si>
    <t>Website Development</t>
  </si>
  <si>
    <t>Vehicles</t>
  </si>
  <si>
    <t>6021 Media Holdings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</si>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</sst>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93058.392967915206</c:v>
                </c:pt>
                <c:pt idx="1">
                  <c:v>119668.94495402001</c:v>
                </c:pt>
                <c:pt idx="2">
                  <c:v>149259.2989003488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4847.5440202585251</c:v>
                </c:pt>
                <c:pt idx="1">
                  <c:v>5302.2770861225017</c:v>
                </c:pt>
                <c:pt idx="2">
                  <c:v>5799.6672501635931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65140.875077540637</c:v>
                </c:pt>
                <c:pt idx="1">
                  <c:v>83768.261467814009</c:v>
                </c:pt>
                <c:pt idx="2">
                  <c:v>104481.50923024416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93058.392967915206</c:v>
                </c:pt>
                <c:pt idx="1">
                  <c:v>119668.94495402001</c:v>
                </c:pt>
                <c:pt idx="2">
                  <c:v>149259.2989003488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699D-419C-B3F5-8002BDE4AF15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699D-419C-B3F5-8002BDE4AF1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$1</c:v>
              </c:pt>
              <c:pt idx="1">
                <c:v>$2</c:v>
              </c:pt>
              <c:pt idx="2">
                <c:v>$3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65140.875077540637</c:v>
                </c:pt>
                <c:pt idx="1">
                  <c:v>83768.261467814009</c:v>
                </c:pt>
                <c:pt idx="2">
                  <c:v>104481.50923024416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109722.97387011605</c:v>
                </c:pt>
                <c:pt idx="1">
                  <c:v>137019.44027019956</c:v>
                </c:pt>
                <c:pt idx="2">
                  <c:v>172741.58389014061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5-459E-9248-75A97F77D9E2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72405.455979741499</c:v>
                </c:pt>
                <c:pt idx="1">
                  <c:v>69401.238893618996</c:v>
                </c:pt>
                <c:pt idx="2">
                  <c:v>65945.592843455408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5-459E-9248-75A97F77D9E2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37317.517890374555</c:v>
                </c:pt>
                <c:pt idx="1">
                  <c:v>67618.20137658056</c:v>
                </c:pt>
                <c:pt idx="2">
                  <c:v>106795.9910466852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5-459E-9248-75A97F77D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Notary Services</c:v>
                </c:pt>
                <c:pt idx="1">
                  <c:v>Travel Fees and Support 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0.44444444444444442</c:v>
                </c:pt>
                <c:pt idx="1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398660.69789473695</c:v>
                </c:pt>
                <c:pt idx="1">
                  <c:v>413420.49663157901</c:v>
                </c:pt>
                <c:pt idx="2">
                  <c:v>429173.99237368425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398660.69789473695</c:v>
                </c:pt>
                <c:pt idx="1">
                  <c:v>413420.49663157901</c:v>
                </c:pt>
                <c:pt idx="2">
                  <c:v>429173.99237368425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542970</c:v>
                </c:pt>
                <c:pt idx="1">
                  <c:v>597267</c:v>
                </c:pt>
                <c:pt idx="2">
                  <c:v>656993.70000000007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378727.66300000006</c:v>
                </c:pt>
                <c:pt idx="1">
                  <c:v>392749.47180000006</c:v>
                </c:pt>
                <c:pt idx="2">
                  <c:v>407715.292755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137093.83699999994</c:v>
                </c:pt>
                <c:pt idx="1">
                  <c:v>174654.17819999997</c:v>
                </c:pt>
                <c:pt idx="2">
                  <c:v>216428.72224500001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542970</c:v>
                </c:pt>
                <c:pt idx="1">
                  <c:v>597267</c:v>
                </c:pt>
                <c:pt idx="2">
                  <c:v>656993.70000000007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317952974324811"/>
                  <c:y val="8.6009593628382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0.10209092795439405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137093.83699999994</c:v>
                </c:pt>
                <c:pt idx="1">
                  <c:v>174654.17819999997</c:v>
                </c:pt>
                <c:pt idx="2">
                  <c:v>216428.72224500001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378727.66300000006</c:v>
                </c:pt>
                <c:pt idx="1">
                  <c:v>392749.47180000006</c:v>
                </c:pt>
                <c:pt idx="2">
                  <c:v>407715.292755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Notary Services</c:v>
                </c:pt>
                <c:pt idx="1">
                  <c:v>Travel Fees and Support Services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0.44444444444444442</c:v>
                </c:pt>
                <c:pt idx="1">
                  <c:v>0.55555555555555558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6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109722.97387011605</c:v>
                </c:pt>
                <c:pt idx="1">
                  <c:v>137019.44027019956</c:v>
                </c:pt>
                <c:pt idx="2">
                  <c:v>172741.58389014061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9C-4382-BF5A-4A36847940D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72405.455979741499</c:v>
                </c:pt>
                <c:pt idx="1">
                  <c:v>69401.238893618996</c:v>
                </c:pt>
                <c:pt idx="2">
                  <c:v>65945.592843455408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9C-4382-BF5A-4A36847940D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3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37317.517890374555</c:v>
                </c:pt>
                <c:pt idx="1">
                  <c:v>67618.20137658056</c:v>
                </c:pt>
                <c:pt idx="2">
                  <c:v>106795.9910466852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9C-4382-BF5A-4A3684794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7950528"/>
        <c:axId val="446204880"/>
      </c:barChart>
      <c:catAx>
        <c:axId val="1637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04880"/>
        <c:crosses val="autoZero"/>
        <c:auto val="1"/>
        <c:lblAlgn val="ctr"/>
        <c:lblOffset val="100"/>
        <c:noMultiLvlLbl val="0"/>
      </c:catAx>
      <c:valAx>
        <c:axId val="44620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795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Senior Management</c:v>
                </c:pt>
                <c:pt idx="1">
                  <c:v>Operational Managers</c:v>
                </c:pt>
                <c:pt idx="2">
                  <c:v>Staff Notaries</c:v>
                </c:pt>
                <c:pt idx="3">
                  <c:v>Scheduling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0.16528925619834711</c:v>
                </c:pt>
                <c:pt idx="1">
                  <c:v>0.1487603305785124</c:v>
                </c:pt>
                <c:pt idx="2">
                  <c:v>0.46280991735537191</c:v>
                </c:pt>
                <c:pt idx="3">
                  <c:v>9.9173553719008267E-2</c:v>
                </c:pt>
                <c:pt idx="4">
                  <c:v>0.12396694214876033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48F-44B5-AF3C-C70F9FAD00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48F-44B5-AF3C-C70F9FAD00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Funds'!$D$6:$D$11</c:f>
              <c:strCache>
                <c:ptCount val="6"/>
                <c:pt idx="0">
                  <c:v>Furniture, Fixtures, and Equipment</c:v>
                </c:pt>
                <c:pt idx="1">
                  <c:v>Location Development</c:v>
                </c:pt>
                <c:pt idx="2">
                  <c:v>Marketing Campaigns</c:v>
                </c:pt>
                <c:pt idx="3">
                  <c:v>Website Development</c:v>
                </c:pt>
                <c:pt idx="4">
                  <c:v>Vehicles</c:v>
                </c:pt>
                <c:pt idx="5">
                  <c:v>Working Capital</c:v>
                </c:pt>
              </c:strCache>
            </c:strRef>
          </c:cat>
          <c:val>
            <c:numRef>
              <c:f>'Use of Funds'!$E$6:$E$11</c:f>
              <c:numCache>
                <c:formatCode>"$"#,##0</c:formatCode>
                <c:ptCount val="6"/>
                <c:pt idx="0">
                  <c:v>7500</c:v>
                </c:pt>
                <c:pt idx="1">
                  <c:v>10000</c:v>
                </c:pt>
                <c:pt idx="2">
                  <c:v>5000</c:v>
                </c:pt>
                <c:pt idx="3">
                  <c:v>3500</c:v>
                </c:pt>
                <c:pt idx="4">
                  <c:v>35000</c:v>
                </c:pt>
                <c:pt idx="5">
                  <c:v>29000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6539150554898586E-2"/>
          <c:y val="9.7507588412343318E-2"/>
          <c:w val="0.90229682828108027"/>
          <c:h val="0.77531002504367541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542970</c:v>
                </c:pt>
                <c:pt idx="1">
                  <c:v>597267</c:v>
                </c:pt>
                <c:pt idx="2">
                  <c:v>656993.70000000007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378727.66300000006</c:v>
                </c:pt>
                <c:pt idx="1">
                  <c:v>392749.47180000006</c:v>
                </c:pt>
                <c:pt idx="2">
                  <c:v>407715.292755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137093.83699999994</c:v>
                </c:pt>
                <c:pt idx="1">
                  <c:v>174654.17819999997</c:v>
                </c:pt>
                <c:pt idx="2">
                  <c:v>216428.72224500001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542970</c:v>
                </c:pt>
                <c:pt idx="1">
                  <c:v>597267</c:v>
                </c:pt>
                <c:pt idx="2">
                  <c:v>656993.70000000007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137093.83699999994</c:v>
                </c:pt>
                <c:pt idx="1">
                  <c:v>174654.17819999997</c:v>
                </c:pt>
                <c:pt idx="2">
                  <c:v>216428.72224500001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378727.66300000006</c:v>
                </c:pt>
                <c:pt idx="1">
                  <c:v>392749.47180000006</c:v>
                </c:pt>
                <c:pt idx="2">
                  <c:v>407715.292755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93058.392967915206</c:v>
                </c:pt>
                <c:pt idx="1">
                  <c:v>119668.94495402001</c:v>
                </c:pt>
                <c:pt idx="2">
                  <c:v>149259.2989003488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4847.5440202585251</c:v>
                </c:pt>
                <c:pt idx="1">
                  <c:v>5302.2770861225017</c:v>
                </c:pt>
                <c:pt idx="2">
                  <c:v>5799.6672501635931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65140.875077540637</c:v>
                </c:pt>
                <c:pt idx="1">
                  <c:v>83768.261467814009</c:v>
                </c:pt>
                <c:pt idx="2">
                  <c:v>104481.50923024416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93058.392967915206</c:v>
                </c:pt>
                <c:pt idx="1">
                  <c:v>119668.94495402001</c:v>
                </c:pt>
                <c:pt idx="2">
                  <c:v>149259.2989003488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096-4A75-899A-2BD45C62ADE0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096-4A75-899A-2BD45C62ADE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65140.875077540637</c:v>
                </c:pt>
                <c:pt idx="1">
                  <c:v>83768.261467814009</c:v>
                </c:pt>
                <c:pt idx="2">
                  <c:v>104481.50923024416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109722.97387011605</c:v>
                </c:pt>
                <c:pt idx="1">
                  <c:v>72405.455979741499</c:v>
                </c:pt>
                <c:pt idx="2">
                  <c:v>37317.517890374555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137019.44027019956</c:v>
                </c:pt>
                <c:pt idx="1">
                  <c:v>69401.238893618996</c:v>
                </c:pt>
                <c:pt idx="2">
                  <c:v>67618.20137658056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172741.58389014061</c:v>
                </c:pt>
                <c:pt idx="1">
                  <c:v>65945.592843455408</c:v>
                </c:pt>
                <c:pt idx="2">
                  <c:v>106795.9910466852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552450</xdr:colOff>
      <xdr:row>2</xdr:row>
      <xdr:rowOff>76200</xdr:rowOff>
    </xdr:from>
    <xdr:to>
      <xdr:col>21</xdr:col>
      <xdr:colOff>104773</xdr:colOff>
      <xdr:row>12</xdr:row>
      <xdr:rowOff>171448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FECFE5-A343-4799-936C-CA7D6D878D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571500</xdr:colOff>
      <xdr:row>29</xdr:row>
      <xdr:rowOff>133350</xdr:rowOff>
    </xdr:from>
    <xdr:to>
      <xdr:col>20</xdr:col>
      <xdr:colOff>352425</xdr:colOff>
      <xdr:row>40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A3D7F7-6BB7-43A8-831F-3E6DE8EFE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025" y="56578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0</xdr:row>
      <xdr:rowOff>66675</xdr:rowOff>
    </xdr:from>
    <xdr:to>
      <xdr:col>21</xdr:col>
      <xdr:colOff>295275</xdr:colOff>
      <xdr:row>11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C2FE4B-1F69-4211-A918-DA515B79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7475" y="666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552450</xdr:colOff>
      <xdr:row>0</xdr:row>
      <xdr:rowOff>152400</xdr:rowOff>
    </xdr:from>
    <xdr:to>
      <xdr:col>26</xdr:col>
      <xdr:colOff>333375</xdr:colOff>
      <xdr:row>11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79ACC8-4FE3-49C8-AF3D-F265B4D2B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1524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333375</xdr:colOff>
      <xdr:row>1</xdr:row>
      <xdr:rowOff>85725</xdr:rowOff>
    </xdr:from>
    <xdr:to>
      <xdr:col>26</xdr:col>
      <xdr:colOff>114300</xdr:colOff>
      <xdr:row>12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48071F-E035-4B54-B62F-D41F391ED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82800" y="2762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485775</xdr:colOff>
      <xdr:row>0</xdr:row>
      <xdr:rowOff>28575</xdr:rowOff>
    </xdr:from>
    <xdr:to>
      <xdr:col>26</xdr:col>
      <xdr:colOff>266700</xdr:colOff>
      <xdr:row>11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EEB29A-B4FB-49EB-9A6D-CBB410DD3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16125" y="285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104775</xdr:colOff>
      <xdr:row>4</xdr:row>
      <xdr:rowOff>9525</xdr:rowOff>
    </xdr:from>
    <xdr:to>
      <xdr:col>5</xdr:col>
      <xdr:colOff>866775</xdr:colOff>
      <xdr:row>15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777CEA-AA5D-4874-83F9-EBD0ACD03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7715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21</xdr:col>
      <xdr:colOff>190500</xdr:colOff>
      <xdr:row>0</xdr:row>
      <xdr:rowOff>0</xdr:rowOff>
    </xdr:from>
    <xdr:to>
      <xdr:col>25</xdr:col>
      <xdr:colOff>581025</xdr:colOff>
      <xdr:row>11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269095-F7AA-4EA8-8A80-460426E3B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33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161925</xdr:colOff>
      <xdr:row>1</xdr:row>
      <xdr:rowOff>95250</xdr:rowOff>
    </xdr:from>
    <xdr:to>
      <xdr:col>23</xdr:col>
      <xdr:colOff>552450</xdr:colOff>
      <xdr:row>12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B54F99-0067-4C8A-9BC8-A8EEA8702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2857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561975</xdr:colOff>
      <xdr:row>0</xdr:row>
      <xdr:rowOff>57150</xdr:rowOff>
    </xdr:from>
    <xdr:to>
      <xdr:col>24</xdr:col>
      <xdr:colOff>342900</xdr:colOff>
      <xdr:row>11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CE19AA-361D-4E4B-9C4E-CB6908323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571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333375</xdr:colOff>
      <xdr:row>4</xdr:row>
      <xdr:rowOff>119062</xdr:rowOff>
    </xdr:from>
    <xdr:to>
      <xdr:col>14</xdr:col>
      <xdr:colOff>161925</xdr:colOff>
      <xdr:row>19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2B4BE7-2047-C93A-B0FE-1DEE09BD4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85725</xdr:colOff>
      <xdr:row>3</xdr:row>
      <xdr:rowOff>114300</xdr:rowOff>
    </xdr:from>
    <xdr:to>
      <xdr:col>23</xdr:col>
      <xdr:colOff>476250</xdr:colOff>
      <xdr:row>14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CE10FB-C17C-4E00-94EA-4E8AE1EF2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0825" y="6858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514350</xdr:colOff>
      <xdr:row>0</xdr:row>
      <xdr:rowOff>95250</xdr:rowOff>
    </xdr:from>
    <xdr:to>
      <xdr:col>23</xdr:col>
      <xdr:colOff>295275</xdr:colOff>
      <xdr:row>11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B519EC-99E5-4EDD-9912-4862EB335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5575" y="952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571500</xdr:colOff>
      <xdr:row>0</xdr:row>
      <xdr:rowOff>0</xdr:rowOff>
    </xdr:from>
    <xdr:to>
      <xdr:col>24</xdr:col>
      <xdr:colOff>352425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14538-844F-4992-B78A-2DEFEB60E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797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171450</xdr:colOff>
      <xdr:row>16</xdr:row>
      <xdr:rowOff>57150</xdr:rowOff>
    </xdr:from>
    <xdr:to>
      <xdr:col>12</xdr:col>
      <xdr:colOff>466725</xdr:colOff>
      <xdr:row>27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7E40CE-30DA-40E9-A305-BEA567F1D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31051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U66"/>
  <sheetViews>
    <sheetView showGridLines="0" tabSelected="1" workbookViewId="0">
      <selection activeCell="D31" sqref="D31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5"/>
      <c r="C3" s="145"/>
      <c r="D3" s="145"/>
      <c r="E3" s="145"/>
    </row>
    <row r="4" spans="2:5">
      <c r="B4" s="146" t="s">
        <v>110</v>
      </c>
      <c r="C4" s="146" t="s">
        <v>57</v>
      </c>
      <c r="D4" s="146" t="s">
        <v>10</v>
      </c>
      <c r="E4" s="146" t="s">
        <v>8</v>
      </c>
    </row>
    <row r="5" spans="2:5">
      <c r="B5" s="66" t="s">
        <v>134</v>
      </c>
      <c r="C5" s="147">
        <v>0.05</v>
      </c>
      <c r="D5" s="147">
        <v>0.95</v>
      </c>
      <c r="E5" s="147">
        <f>C5+D5</f>
        <v>1</v>
      </c>
    </row>
    <row r="6" spans="2:5">
      <c r="B6" s="66" t="s">
        <v>135</v>
      </c>
      <c r="C6" s="147">
        <v>0.05</v>
      </c>
      <c r="D6" s="147">
        <v>0.95</v>
      </c>
      <c r="E6" s="147">
        <f t="shared" ref="E6:E12" si="0">C6+D6</f>
        <v>1</v>
      </c>
    </row>
    <row r="7" spans="2:5">
      <c r="B7" s="66" t="s">
        <v>102</v>
      </c>
      <c r="C7" s="147">
        <v>0.05</v>
      </c>
      <c r="D7" s="147">
        <v>0.95</v>
      </c>
      <c r="E7" s="147">
        <f t="shared" si="0"/>
        <v>1</v>
      </c>
    </row>
    <row r="8" spans="2:5">
      <c r="B8" s="66" t="s">
        <v>103</v>
      </c>
      <c r="C8" s="147">
        <v>0.05</v>
      </c>
      <c r="D8" s="147">
        <v>0.95</v>
      </c>
      <c r="E8" s="147">
        <f t="shared" si="0"/>
        <v>1</v>
      </c>
    </row>
    <row r="9" spans="2:5">
      <c r="B9" s="66" t="s">
        <v>104</v>
      </c>
      <c r="C9" s="147">
        <v>0.05</v>
      </c>
      <c r="D9" s="147">
        <v>0.95</v>
      </c>
      <c r="E9" s="147">
        <f t="shared" si="0"/>
        <v>1</v>
      </c>
    </row>
    <row r="10" spans="2:5">
      <c r="B10" s="66" t="s">
        <v>105</v>
      </c>
      <c r="C10" s="147">
        <v>0.05</v>
      </c>
      <c r="D10" s="147">
        <v>0.95</v>
      </c>
      <c r="E10" s="147">
        <f t="shared" si="0"/>
        <v>1</v>
      </c>
    </row>
    <row r="11" spans="2:5">
      <c r="B11" s="66" t="s">
        <v>106</v>
      </c>
      <c r="C11" s="147">
        <v>0.05</v>
      </c>
      <c r="D11" s="147">
        <v>0.95</v>
      </c>
      <c r="E11" s="147">
        <f t="shared" si="0"/>
        <v>1</v>
      </c>
    </row>
    <row r="12" spans="2:5">
      <c r="B12" s="66" t="s">
        <v>107</v>
      </c>
      <c r="C12" s="147">
        <v>0.05</v>
      </c>
      <c r="D12" s="147">
        <v>0.95</v>
      </c>
      <c r="E12" s="147">
        <f t="shared" si="0"/>
        <v>1</v>
      </c>
    </row>
    <row r="13" spans="2:5">
      <c r="B13" s="66" t="s">
        <v>108</v>
      </c>
      <c r="C13" s="147">
        <v>0.05</v>
      </c>
      <c r="D13" s="147">
        <v>0.95</v>
      </c>
      <c r="E13" s="147">
        <f t="shared" ref="E13:E14" si="1">C13+D13</f>
        <v>1</v>
      </c>
    </row>
    <row r="14" spans="2:5">
      <c r="B14" s="66" t="s">
        <v>109</v>
      </c>
      <c r="C14" s="147">
        <v>0.05</v>
      </c>
      <c r="D14" s="147">
        <v>0.95</v>
      </c>
      <c r="E14" s="147">
        <f t="shared" si="1"/>
        <v>1</v>
      </c>
    </row>
    <row r="16" spans="2:5">
      <c r="B16" s="145"/>
      <c r="C16" s="145"/>
      <c r="D16" s="145"/>
      <c r="E16" s="145"/>
    </row>
    <row r="17" spans="2:21">
      <c r="B17" s="146" t="s">
        <v>111</v>
      </c>
      <c r="C17" s="146">
        <v>1</v>
      </c>
      <c r="D17" s="146">
        <v>2</v>
      </c>
      <c r="E17" s="146">
        <v>3</v>
      </c>
    </row>
    <row r="18" spans="2:21">
      <c r="B18" s="70" t="s">
        <v>115</v>
      </c>
      <c r="C18" s="94">
        <v>17501</v>
      </c>
      <c r="D18" s="94">
        <f>C18*1.03</f>
        <v>18026.03</v>
      </c>
      <c r="E18" s="94">
        <f>D18*1.03</f>
        <v>18566.8109</v>
      </c>
    </row>
    <row r="19" spans="2:21">
      <c r="B19" s="70" t="s">
        <v>50</v>
      </c>
      <c r="C19" s="94">
        <f>'Profit and Loss Statement'!E6*0.0157</f>
        <v>8524.628999999999</v>
      </c>
      <c r="D19" s="94">
        <f>'Profit and Loss Statement'!F6*0.0157</f>
        <v>9377.0918999999994</v>
      </c>
      <c r="E19" s="94">
        <f>'Profit and Loss Statement'!G6*0.0157</f>
        <v>10314.801090000001</v>
      </c>
    </row>
    <row r="20" spans="2:21">
      <c r="B20" s="70" t="s">
        <v>118</v>
      </c>
      <c r="C20" s="94">
        <f>'Profit and Loss Statement'!E6*0.0152</f>
        <v>8253.1440000000002</v>
      </c>
      <c r="D20" s="94">
        <f>'Profit and Loss Statement'!F6*0.0152</f>
        <v>9078.4583999999995</v>
      </c>
      <c r="E20" s="94">
        <f>'Profit and Loss Statement'!G6*0.0152</f>
        <v>9986.3042400000013</v>
      </c>
    </row>
    <row r="21" spans="2:21">
      <c r="B21" s="70" t="s">
        <v>49</v>
      </c>
      <c r="C21" s="94">
        <f>'Personnel - Editable'!H16*0.03</f>
        <v>9075</v>
      </c>
      <c r="D21" s="94">
        <f>'Personnel - Editable'!I16*0.03</f>
        <v>9347.25</v>
      </c>
      <c r="E21" s="94">
        <f>'Personnel - Editable'!J16*0.03</f>
        <v>9627.6674999999996</v>
      </c>
      <c r="F21" s="119"/>
      <c r="G21" s="119"/>
    </row>
    <row r="22" spans="2:21">
      <c r="B22" s="70" t="s">
        <v>116</v>
      </c>
      <c r="C22" s="94">
        <f>'Profit and Loss Statement'!E6*0.012</f>
        <v>6515.64</v>
      </c>
      <c r="D22" s="94">
        <f>'Profit and Loss Statement'!F6*0.012</f>
        <v>7167.2039999999997</v>
      </c>
      <c r="E22" s="94">
        <f>'Profit and Loss Statement'!G6*0.012</f>
        <v>7883.9244000000008</v>
      </c>
      <c r="F22" s="1"/>
      <c r="G22" s="1"/>
    </row>
    <row r="23" spans="2:21">
      <c r="B23" s="70" t="s">
        <v>1</v>
      </c>
      <c r="C23" s="94">
        <v>3217</v>
      </c>
      <c r="D23" s="94">
        <f>C23*1.35</f>
        <v>4342.9500000000007</v>
      </c>
      <c r="E23" s="94">
        <f>D23*1.35</f>
        <v>5862.982500000001</v>
      </c>
      <c r="F23" s="1"/>
      <c r="G23" s="1"/>
    </row>
    <row r="24" spans="2:21">
      <c r="F24" s="1"/>
      <c r="G24" s="1"/>
    </row>
    <row r="25" spans="2:21">
      <c r="F25" s="1"/>
      <c r="G25" s="1"/>
    </row>
    <row r="30" spans="2:21">
      <c r="B30" s="148" t="s">
        <v>112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2:21">
      <c r="B31" s="150" t="s">
        <v>5</v>
      </c>
      <c r="C31" s="151">
        <v>1</v>
      </c>
      <c r="D31" s="151">
        <f>C31+1</f>
        <v>2</v>
      </c>
      <c r="E31" s="151">
        <f t="shared" ref="E31:N31" si="2">D31+1</f>
        <v>3</v>
      </c>
      <c r="F31" s="151">
        <f t="shared" si="2"/>
        <v>4</v>
      </c>
      <c r="G31" s="151">
        <f t="shared" si="2"/>
        <v>5</v>
      </c>
      <c r="H31" s="151">
        <f t="shared" si="2"/>
        <v>6</v>
      </c>
      <c r="I31" s="151">
        <f t="shared" si="2"/>
        <v>7</v>
      </c>
      <c r="J31" s="151">
        <f t="shared" si="2"/>
        <v>8</v>
      </c>
      <c r="K31" s="151">
        <f t="shared" si="2"/>
        <v>9</v>
      </c>
      <c r="L31" s="151">
        <f t="shared" si="2"/>
        <v>10</v>
      </c>
      <c r="M31" s="151">
        <f t="shared" si="2"/>
        <v>11</v>
      </c>
      <c r="N31" s="151">
        <f t="shared" si="2"/>
        <v>12</v>
      </c>
      <c r="U31" s="112" t="s">
        <v>140</v>
      </c>
    </row>
    <row r="32" spans="2:21">
      <c r="B32" s="66" t="str">
        <f t="shared" ref="B32:B41" si="3">B5</f>
        <v>Notary Services</v>
      </c>
      <c r="C32" s="94">
        <v>20000</v>
      </c>
      <c r="D32" s="94">
        <f>C32+20</f>
        <v>20020</v>
      </c>
      <c r="E32" s="94">
        <f t="shared" ref="E32:N32" si="4">D32+20</f>
        <v>20040</v>
      </c>
      <c r="F32" s="94">
        <f t="shared" si="4"/>
        <v>20060</v>
      </c>
      <c r="G32" s="94">
        <f t="shared" si="4"/>
        <v>20080</v>
      </c>
      <c r="H32" s="94">
        <f t="shared" si="4"/>
        <v>20100</v>
      </c>
      <c r="I32" s="94">
        <f t="shared" si="4"/>
        <v>20120</v>
      </c>
      <c r="J32" s="94">
        <f t="shared" si="4"/>
        <v>20140</v>
      </c>
      <c r="K32" s="94">
        <f t="shared" si="4"/>
        <v>20160</v>
      </c>
      <c r="L32" s="94">
        <f t="shared" si="4"/>
        <v>20180</v>
      </c>
      <c r="M32" s="94">
        <f t="shared" si="4"/>
        <v>20200</v>
      </c>
      <c r="N32" s="94">
        <f t="shared" si="4"/>
        <v>20220</v>
      </c>
    </row>
    <row r="33" spans="2:17">
      <c r="B33" s="66" t="str">
        <f t="shared" si="3"/>
        <v>Travel Fees and Support Services</v>
      </c>
      <c r="C33" s="94">
        <f>C32*1.25</f>
        <v>25000</v>
      </c>
      <c r="D33" s="94">
        <f t="shared" ref="D33:N33" si="5">D32*1.25</f>
        <v>25025</v>
      </c>
      <c r="E33" s="94">
        <f t="shared" si="5"/>
        <v>25050</v>
      </c>
      <c r="F33" s="94">
        <f t="shared" si="5"/>
        <v>25075</v>
      </c>
      <c r="G33" s="94">
        <f t="shared" si="5"/>
        <v>25100</v>
      </c>
      <c r="H33" s="94">
        <f t="shared" si="5"/>
        <v>25125</v>
      </c>
      <c r="I33" s="94">
        <f t="shared" si="5"/>
        <v>25150</v>
      </c>
      <c r="J33" s="94">
        <f t="shared" si="5"/>
        <v>25175</v>
      </c>
      <c r="K33" s="94">
        <f t="shared" si="5"/>
        <v>25200</v>
      </c>
      <c r="L33" s="94">
        <f t="shared" si="5"/>
        <v>25225</v>
      </c>
      <c r="M33" s="94">
        <f t="shared" si="5"/>
        <v>25250</v>
      </c>
      <c r="N33" s="94">
        <f t="shared" si="5"/>
        <v>25275</v>
      </c>
    </row>
    <row r="34" spans="2:17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7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7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7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7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7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7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7">
      <c r="B42" s="152" t="s">
        <v>8</v>
      </c>
      <c r="C42" s="153">
        <f>SUM(C32:C41)</f>
        <v>45000</v>
      </c>
      <c r="D42" s="153">
        <f t="shared" ref="D42:N42" si="6">SUM(D32:D41)</f>
        <v>45045</v>
      </c>
      <c r="E42" s="153">
        <f t="shared" si="6"/>
        <v>45090</v>
      </c>
      <c r="F42" s="153">
        <f t="shared" si="6"/>
        <v>45135</v>
      </c>
      <c r="G42" s="153">
        <f t="shared" si="6"/>
        <v>45180</v>
      </c>
      <c r="H42" s="153">
        <f t="shared" si="6"/>
        <v>45225</v>
      </c>
      <c r="I42" s="153">
        <f t="shared" si="6"/>
        <v>45270</v>
      </c>
      <c r="J42" s="153">
        <f t="shared" si="6"/>
        <v>45315</v>
      </c>
      <c r="K42" s="153">
        <f t="shared" si="6"/>
        <v>45360</v>
      </c>
      <c r="L42" s="153">
        <f t="shared" si="6"/>
        <v>45405</v>
      </c>
      <c r="M42" s="153">
        <f t="shared" si="6"/>
        <v>45450</v>
      </c>
      <c r="N42" s="153">
        <f t="shared" si="6"/>
        <v>45495</v>
      </c>
    </row>
    <row r="43" spans="2:17">
      <c r="Q43" s="144" t="s">
        <v>141</v>
      </c>
    </row>
    <row r="44" spans="2:17">
      <c r="B44" s="145"/>
      <c r="C44" s="145"/>
    </row>
    <row r="45" spans="2:17">
      <c r="B45" s="146" t="s">
        <v>128</v>
      </c>
      <c r="C45" s="146"/>
    </row>
    <row r="46" spans="2:17">
      <c r="B46" s="66" t="s">
        <v>3</v>
      </c>
      <c r="C46" s="143">
        <v>0.1</v>
      </c>
    </row>
    <row r="47" spans="2:17">
      <c r="B47" s="66" t="s">
        <v>4</v>
      </c>
      <c r="C47" s="143">
        <v>0.1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Notary Services</v>
      </c>
      <c r="C51" s="114">
        <f t="shared" ref="C51:N51" si="9">C32*($C$5/$E$5)</f>
        <v>1000</v>
      </c>
      <c r="D51" s="114">
        <f t="shared" si="9"/>
        <v>1001</v>
      </c>
      <c r="E51" s="114">
        <f t="shared" si="9"/>
        <v>1002</v>
      </c>
      <c r="F51" s="114">
        <f t="shared" si="9"/>
        <v>1003</v>
      </c>
      <c r="G51" s="114">
        <f t="shared" si="9"/>
        <v>1004</v>
      </c>
      <c r="H51" s="114">
        <f t="shared" si="9"/>
        <v>1005</v>
      </c>
      <c r="I51" s="114">
        <f t="shared" si="9"/>
        <v>1006</v>
      </c>
      <c r="J51" s="114">
        <f t="shared" si="9"/>
        <v>1007</v>
      </c>
      <c r="K51" s="114">
        <f t="shared" si="9"/>
        <v>1008</v>
      </c>
      <c r="L51" s="114">
        <f t="shared" si="9"/>
        <v>1009</v>
      </c>
      <c r="M51" s="114">
        <f t="shared" si="9"/>
        <v>1010</v>
      </c>
      <c r="N51" s="114">
        <f t="shared" si="9"/>
        <v>1011</v>
      </c>
    </row>
    <row r="52" spans="2:14">
      <c r="B52" s="112" t="str">
        <f t="shared" si="8"/>
        <v>Travel Fees and Support Services</v>
      </c>
      <c r="C52" s="114">
        <f t="shared" ref="C52:N52" si="10">C33*($C$6/$E$6)</f>
        <v>1250</v>
      </c>
      <c r="D52" s="114">
        <f t="shared" si="10"/>
        <v>1251.25</v>
      </c>
      <c r="E52" s="114">
        <f t="shared" si="10"/>
        <v>1252.5</v>
      </c>
      <c r="F52" s="114">
        <f t="shared" si="10"/>
        <v>1253.75</v>
      </c>
      <c r="G52" s="114">
        <f t="shared" si="10"/>
        <v>1255</v>
      </c>
      <c r="H52" s="114">
        <f t="shared" si="10"/>
        <v>1256.25</v>
      </c>
      <c r="I52" s="114">
        <f t="shared" si="10"/>
        <v>1257.5</v>
      </c>
      <c r="J52" s="114">
        <f t="shared" si="10"/>
        <v>1258.75</v>
      </c>
      <c r="K52" s="114">
        <f t="shared" si="10"/>
        <v>1260</v>
      </c>
      <c r="L52" s="114">
        <f t="shared" si="10"/>
        <v>1261.25</v>
      </c>
      <c r="M52" s="114">
        <f t="shared" si="10"/>
        <v>1262.5</v>
      </c>
      <c r="N52" s="114">
        <f t="shared" si="10"/>
        <v>1263.75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2250</v>
      </c>
      <c r="D61" s="114">
        <f t="shared" ref="D61:N61" si="19">SUM(D51:D60)</f>
        <v>2252.25</v>
      </c>
      <c r="E61" s="114">
        <f t="shared" si="19"/>
        <v>2254.5</v>
      </c>
      <c r="F61" s="114">
        <f t="shared" si="19"/>
        <v>2256.75</v>
      </c>
      <c r="G61" s="114">
        <f t="shared" si="19"/>
        <v>2259</v>
      </c>
      <c r="H61" s="114">
        <f t="shared" si="19"/>
        <v>2261.25</v>
      </c>
      <c r="I61" s="114">
        <f t="shared" si="19"/>
        <v>2263.5</v>
      </c>
      <c r="J61" s="114">
        <f t="shared" si="19"/>
        <v>2265.75</v>
      </c>
      <c r="K61" s="114">
        <f t="shared" si="19"/>
        <v>2268</v>
      </c>
      <c r="L61" s="114">
        <f t="shared" si="19"/>
        <v>2270.25</v>
      </c>
      <c r="M61" s="114">
        <f t="shared" si="19"/>
        <v>2272.5</v>
      </c>
      <c r="N61" s="114">
        <f t="shared" si="19"/>
        <v>2274.75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42750</v>
      </c>
      <c r="D66" s="114">
        <f t="shared" si="21"/>
        <v>42792.75</v>
      </c>
      <c r="E66" s="114">
        <f t="shared" si="21"/>
        <v>42835.5</v>
      </c>
      <c r="F66" s="114">
        <f t="shared" si="21"/>
        <v>42878.25</v>
      </c>
      <c r="G66" s="114">
        <f t="shared" si="21"/>
        <v>42921</v>
      </c>
      <c r="H66" s="114">
        <f t="shared" si="21"/>
        <v>42963.75</v>
      </c>
      <c r="I66" s="114">
        <f t="shared" si="21"/>
        <v>43006.5</v>
      </c>
      <c r="J66" s="114">
        <f t="shared" si="21"/>
        <v>43049.25</v>
      </c>
      <c r="K66" s="114">
        <f t="shared" si="21"/>
        <v>43092</v>
      </c>
      <c r="L66" s="114">
        <f t="shared" si="21"/>
        <v>43134.75</v>
      </c>
      <c r="M66" s="114">
        <f t="shared" si="21"/>
        <v>43177.5</v>
      </c>
      <c r="N66" s="114">
        <f t="shared" si="21"/>
        <v>43220.25</v>
      </c>
    </row>
  </sheetData>
  <sheetProtection algorithmName="SHA-512" hashValue="v6xGgzK4OB/4WIksmd2pBH1IjN3UflORqRSmxtO11lxegjK3E5PaVPsDzfQc6BTcVupIct8dwshRi/CffnY1HQ==" saltValue="noaEGqzPnQZYrN51/g9/cQ==" spinCount="100000" sheet="1" objects="1" scenarios="1" selectLockedCells="1"/>
  <hyperlinks>
    <hyperlink ref="Q43" r:id="rId1" xr:uid="{6F1D5725-7BD3-4198-8334-77A1FB01793A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Q5" sqref="Q5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75000</v>
      </c>
      <c r="C5" s="55"/>
      <c r="D5" s="56" t="s">
        <v>36</v>
      </c>
      <c r="E5" s="59">
        <f>PMT(B6/B8,(B7*B8),-B5)</f>
        <v>950.06830312687111</v>
      </c>
    </row>
    <row r="6" spans="1:5">
      <c r="A6" s="60" t="s">
        <v>39</v>
      </c>
      <c r="B6" s="54">
        <v>0.09</v>
      </c>
      <c r="C6" s="55"/>
      <c r="D6" s="56" t="s">
        <v>38</v>
      </c>
      <c r="E6" s="59">
        <f>SUM(D14:D600)</f>
        <v>39008.196375224579</v>
      </c>
    </row>
    <row r="7" spans="1:5">
      <c r="A7" s="60" t="s">
        <v>40</v>
      </c>
      <c r="B7" s="60">
        <v>10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950.06830312687111</v>
      </c>
      <c r="C14" s="1">
        <f>B14-D14</f>
        <v>387.56830312687111</v>
      </c>
      <c r="D14" s="1">
        <f>(B5*($B$6/$B$8))</f>
        <v>562.5</v>
      </c>
      <c r="E14" s="1">
        <f>B5-C14</f>
        <v>74612.431696873129</v>
      </c>
    </row>
    <row r="15" spans="1:5">
      <c r="A15">
        <f>IF(($B$7*$B$8&gt;A14),IF(($B$7*$B$8)=A14,"",A14+1),"")</f>
        <v>2</v>
      </c>
      <c r="B15" s="1">
        <f>IF(A15="","",$B$14)</f>
        <v>950.06830312687111</v>
      </c>
      <c r="C15" s="1">
        <f>IF(A15="","",B15-D15)</f>
        <v>390.47506540032271</v>
      </c>
      <c r="D15" s="1">
        <f>IF(A15="","",(E14*($B$6/$B$8)))</f>
        <v>559.59323772654841</v>
      </c>
      <c r="E15" s="1">
        <f>IF(A15="","",E14-C15)</f>
        <v>74221.9566314728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950.06830312687111</v>
      </c>
      <c r="C16" s="1">
        <f t="shared" ref="C16:C79" si="2">IF(A16="","",B16-D16)</f>
        <v>393.40362839082513</v>
      </c>
      <c r="D16" s="1">
        <f t="shared" ref="D16:D79" si="3">IF(A16="","",(E15*($B$6/$B$8)))</f>
        <v>556.66467473604598</v>
      </c>
      <c r="E16" s="1">
        <f t="shared" ref="E16:E79" si="4">IF(A16="","",E15-C16)</f>
        <v>73828.553003081979</v>
      </c>
    </row>
    <row r="17" spans="1:5">
      <c r="A17">
        <f t="shared" si="0"/>
        <v>4</v>
      </c>
      <c r="B17" s="1">
        <f t="shared" si="1"/>
        <v>950.06830312687111</v>
      </c>
      <c r="C17" s="1">
        <f t="shared" si="2"/>
        <v>396.35415560375634</v>
      </c>
      <c r="D17" s="1">
        <f t="shared" si="3"/>
        <v>553.71414752311478</v>
      </c>
      <c r="E17" s="1">
        <f t="shared" si="4"/>
        <v>73432.198847478227</v>
      </c>
    </row>
    <row r="18" spans="1:5">
      <c r="A18">
        <f t="shared" si="0"/>
        <v>5</v>
      </c>
      <c r="B18" s="1">
        <f t="shared" si="1"/>
        <v>950.06830312687111</v>
      </c>
      <c r="C18" s="1">
        <f t="shared" si="2"/>
        <v>399.32681177078439</v>
      </c>
      <c r="D18" s="1">
        <f t="shared" si="3"/>
        <v>550.74149135608673</v>
      </c>
      <c r="E18" s="1">
        <f t="shared" si="4"/>
        <v>73032.872035707449</v>
      </c>
    </row>
    <row r="19" spans="1:5">
      <c r="A19">
        <f t="shared" si="0"/>
        <v>6</v>
      </c>
      <c r="B19" s="1">
        <f t="shared" si="1"/>
        <v>950.06830312687111</v>
      </c>
      <c r="C19" s="1">
        <f t="shared" si="2"/>
        <v>402.3217628590653</v>
      </c>
      <c r="D19" s="1">
        <f t="shared" si="3"/>
        <v>547.74654026780581</v>
      </c>
      <c r="E19" s="1">
        <f t="shared" si="4"/>
        <v>72630.550272848384</v>
      </c>
    </row>
    <row r="20" spans="1:5">
      <c r="A20">
        <f t="shared" si="0"/>
        <v>7</v>
      </c>
      <c r="B20" s="1">
        <f t="shared" si="1"/>
        <v>950.06830312687111</v>
      </c>
      <c r="C20" s="1">
        <f t="shared" si="2"/>
        <v>405.3391760805082</v>
      </c>
      <c r="D20" s="1">
        <f t="shared" si="3"/>
        <v>544.72912704636292</v>
      </c>
      <c r="E20" s="1">
        <f t="shared" si="4"/>
        <v>72225.211096767875</v>
      </c>
    </row>
    <row r="21" spans="1:5">
      <c r="A21">
        <f t="shared" si="0"/>
        <v>8</v>
      </c>
      <c r="B21" s="1">
        <f t="shared" si="1"/>
        <v>950.06830312687111</v>
      </c>
      <c r="C21" s="1">
        <f t="shared" si="2"/>
        <v>408.37921990111204</v>
      </c>
      <c r="D21" s="1">
        <f t="shared" si="3"/>
        <v>541.68908322575908</v>
      </c>
      <c r="E21" s="1">
        <f t="shared" si="4"/>
        <v>71816.831876866767</v>
      </c>
    </row>
    <row r="22" spans="1:5">
      <c r="A22">
        <f t="shared" si="0"/>
        <v>9</v>
      </c>
      <c r="B22" s="1">
        <f t="shared" si="1"/>
        <v>950.06830312687111</v>
      </c>
      <c r="C22" s="1">
        <f t="shared" si="2"/>
        <v>411.44206405037039</v>
      </c>
      <c r="D22" s="1">
        <f t="shared" si="3"/>
        <v>538.62623907650072</v>
      </c>
      <c r="E22" s="1">
        <f t="shared" si="4"/>
        <v>71405.3898128164</v>
      </c>
    </row>
    <row r="23" spans="1:5">
      <c r="A23">
        <f t="shared" si="0"/>
        <v>10</v>
      </c>
      <c r="B23" s="1">
        <f t="shared" si="1"/>
        <v>950.06830312687111</v>
      </c>
      <c r="C23" s="1">
        <f t="shared" si="2"/>
        <v>414.52787953074812</v>
      </c>
      <c r="D23" s="1">
        <f t="shared" si="3"/>
        <v>535.54042359612299</v>
      </c>
      <c r="E23" s="1">
        <f t="shared" si="4"/>
        <v>70990.861933285647</v>
      </c>
    </row>
    <row r="24" spans="1:5">
      <c r="A24">
        <f t="shared" si="0"/>
        <v>11</v>
      </c>
      <c r="B24" s="1">
        <f t="shared" si="1"/>
        <v>950.06830312687111</v>
      </c>
      <c r="C24" s="1">
        <f t="shared" si="2"/>
        <v>417.63683862722883</v>
      </c>
      <c r="D24" s="1">
        <f t="shared" si="3"/>
        <v>532.43146449964229</v>
      </c>
      <c r="E24" s="1">
        <f t="shared" si="4"/>
        <v>70573.225094658424</v>
      </c>
    </row>
    <row r="25" spans="1:5">
      <c r="A25">
        <f t="shared" si="0"/>
        <v>12</v>
      </c>
      <c r="B25" s="1">
        <f t="shared" si="1"/>
        <v>950.06830312687111</v>
      </c>
      <c r="C25" s="1">
        <f t="shared" si="2"/>
        <v>420.76911491693295</v>
      </c>
      <c r="D25" s="1">
        <f t="shared" si="3"/>
        <v>529.29918820993817</v>
      </c>
      <c r="E25" s="1">
        <f t="shared" si="4"/>
        <v>70152.455979741499</v>
      </c>
    </row>
    <row r="26" spans="1:5">
      <c r="A26">
        <f t="shared" si="0"/>
        <v>13</v>
      </c>
      <c r="B26" s="1">
        <f t="shared" si="1"/>
        <v>950.06830312687111</v>
      </c>
      <c r="C26" s="1">
        <f t="shared" si="2"/>
        <v>423.92488327880994</v>
      </c>
      <c r="D26" s="1">
        <f t="shared" si="3"/>
        <v>526.14341984806117</v>
      </c>
      <c r="E26" s="1">
        <f t="shared" si="4"/>
        <v>69728.531096462684</v>
      </c>
    </row>
    <row r="27" spans="1:5">
      <c r="A27">
        <f t="shared" si="0"/>
        <v>14</v>
      </c>
      <c r="B27" s="1">
        <f t="shared" si="1"/>
        <v>950.06830312687111</v>
      </c>
      <c r="C27" s="1">
        <f t="shared" si="2"/>
        <v>427.10431990340101</v>
      </c>
      <c r="D27" s="1">
        <f t="shared" si="3"/>
        <v>522.96398322347011</v>
      </c>
      <c r="E27" s="1">
        <f t="shared" si="4"/>
        <v>69301.426776559281</v>
      </c>
    </row>
    <row r="28" spans="1:5">
      <c r="A28">
        <f t="shared" si="0"/>
        <v>15</v>
      </c>
      <c r="B28" s="1">
        <f t="shared" si="1"/>
        <v>950.06830312687111</v>
      </c>
      <c r="C28" s="1">
        <f t="shared" si="2"/>
        <v>430.30760230267651</v>
      </c>
      <c r="D28" s="1">
        <f t="shared" si="3"/>
        <v>519.7607008241946</v>
      </c>
      <c r="E28" s="1">
        <f t="shared" si="4"/>
        <v>68871.119174256601</v>
      </c>
    </row>
    <row r="29" spans="1:5">
      <c r="A29">
        <f t="shared" si="0"/>
        <v>16</v>
      </c>
      <c r="B29" s="1">
        <f t="shared" si="1"/>
        <v>950.06830312687111</v>
      </c>
      <c r="C29" s="1">
        <f t="shared" si="2"/>
        <v>433.53490931994668</v>
      </c>
      <c r="D29" s="1">
        <f t="shared" si="3"/>
        <v>516.53339380692444</v>
      </c>
      <c r="E29" s="1">
        <f t="shared" si="4"/>
        <v>68437.584264936653</v>
      </c>
    </row>
    <row r="30" spans="1:5">
      <c r="A30">
        <f t="shared" si="0"/>
        <v>17</v>
      </c>
      <c r="B30" s="1">
        <f t="shared" si="1"/>
        <v>950.06830312687111</v>
      </c>
      <c r="C30" s="1">
        <f t="shared" si="2"/>
        <v>436.7864211398462</v>
      </c>
      <c r="D30" s="1">
        <f t="shared" si="3"/>
        <v>513.28188198702492</v>
      </c>
      <c r="E30" s="1">
        <f t="shared" si="4"/>
        <v>68000.797843796812</v>
      </c>
    </row>
    <row r="31" spans="1:5">
      <c r="A31">
        <f t="shared" si="0"/>
        <v>18</v>
      </c>
      <c r="B31" s="1">
        <f t="shared" si="1"/>
        <v>950.06830312687111</v>
      </c>
      <c r="C31" s="1">
        <f t="shared" si="2"/>
        <v>440.06231929839504</v>
      </c>
      <c r="D31" s="1">
        <f t="shared" si="3"/>
        <v>510.00598382847608</v>
      </c>
      <c r="E31" s="1">
        <f t="shared" si="4"/>
        <v>67560.735524498421</v>
      </c>
    </row>
    <row r="32" spans="1:5">
      <c r="A32">
        <f t="shared" si="0"/>
        <v>19</v>
      </c>
      <c r="B32" s="1">
        <f t="shared" si="1"/>
        <v>950.06830312687111</v>
      </c>
      <c r="C32" s="1">
        <f t="shared" si="2"/>
        <v>443.36278669313299</v>
      </c>
      <c r="D32" s="1">
        <f t="shared" si="3"/>
        <v>506.70551643373813</v>
      </c>
      <c r="E32" s="1">
        <f t="shared" si="4"/>
        <v>67117.372737805286</v>
      </c>
    </row>
    <row r="33" spans="1:5">
      <c r="A33">
        <f t="shared" si="0"/>
        <v>20</v>
      </c>
      <c r="B33" s="1">
        <f t="shared" si="1"/>
        <v>950.06830312687111</v>
      </c>
      <c r="C33" s="1">
        <f t="shared" si="2"/>
        <v>446.68800759333146</v>
      </c>
      <c r="D33" s="1">
        <f t="shared" si="3"/>
        <v>503.38029553353965</v>
      </c>
      <c r="E33" s="1">
        <f t="shared" si="4"/>
        <v>66670.684730211957</v>
      </c>
    </row>
    <row r="34" spans="1:5">
      <c r="A34">
        <f t="shared" si="0"/>
        <v>21</v>
      </c>
      <c r="B34" s="1">
        <f t="shared" si="1"/>
        <v>950.06830312687111</v>
      </c>
      <c r="C34" s="1">
        <f t="shared" si="2"/>
        <v>450.03816765028148</v>
      </c>
      <c r="D34" s="1">
        <f t="shared" si="3"/>
        <v>500.03013547658963</v>
      </c>
      <c r="E34" s="1">
        <f t="shared" si="4"/>
        <v>66220.646562561669</v>
      </c>
    </row>
    <row r="35" spans="1:5">
      <c r="A35">
        <f t="shared" si="0"/>
        <v>22</v>
      </c>
      <c r="B35" s="1">
        <f t="shared" si="1"/>
        <v>950.06830312687111</v>
      </c>
      <c r="C35" s="1">
        <f t="shared" si="2"/>
        <v>453.41345390765861</v>
      </c>
      <c r="D35" s="1">
        <f t="shared" si="3"/>
        <v>496.65484921921251</v>
      </c>
      <c r="E35" s="1">
        <f t="shared" si="4"/>
        <v>65767.233108654007</v>
      </c>
    </row>
    <row r="36" spans="1:5">
      <c r="A36">
        <f t="shared" si="0"/>
        <v>23</v>
      </c>
      <c r="B36" s="1">
        <f t="shared" si="1"/>
        <v>950.06830312687111</v>
      </c>
      <c r="C36" s="1">
        <f t="shared" si="2"/>
        <v>456.81405481196606</v>
      </c>
      <c r="D36" s="1">
        <f t="shared" si="3"/>
        <v>493.25424831490506</v>
      </c>
      <c r="E36" s="1">
        <f t="shared" si="4"/>
        <v>65310.419053842044</v>
      </c>
    </row>
    <row r="37" spans="1:5">
      <c r="A37">
        <f t="shared" si="0"/>
        <v>24</v>
      </c>
      <c r="B37" s="1">
        <f t="shared" si="1"/>
        <v>950.06830312687111</v>
      </c>
      <c r="C37" s="1">
        <f t="shared" si="2"/>
        <v>460.2401602230558</v>
      </c>
      <c r="D37" s="1">
        <f t="shared" si="3"/>
        <v>489.82814290381532</v>
      </c>
      <c r="E37" s="1">
        <f t="shared" si="4"/>
        <v>64850.178893618991</v>
      </c>
    </row>
    <row r="38" spans="1:5">
      <c r="A38">
        <f t="shared" si="0"/>
        <v>25</v>
      </c>
      <c r="B38" s="1">
        <f t="shared" si="1"/>
        <v>950.06830312687111</v>
      </c>
      <c r="C38" s="1">
        <f t="shared" si="2"/>
        <v>463.69196142472867</v>
      </c>
      <c r="D38" s="1">
        <f t="shared" si="3"/>
        <v>486.37634170214244</v>
      </c>
      <c r="E38" s="1">
        <f t="shared" si="4"/>
        <v>64386.486932194261</v>
      </c>
    </row>
    <row r="39" spans="1:5">
      <c r="A39">
        <f t="shared" si="0"/>
        <v>26</v>
      </c>
      <c r="B39" s="1">
        <f t="shared" si="1"/>
        <v>950.06830312687111</v>
      </c>
      <c r="C39" s="1">
        <f t="shared" si="2"/>
        <v>467.1696511354142</v>
      </c>
      <c r="D39" s="1">
        <f t="shared" si="3"/>
        <v>482.89865199145692</v>
      </c>
      <c r="E39" s="1">
        <f t="shared" si="4"/>
        <v>63919.317281058844</v>
      </c>
    </row>
    <row r="40" spans="1:5">
      <c r="A40">
        <f t="shared" si="0"/>
        <v>27</v>
      </c>
      <c r="B40" s="1">
        <f t="shared" si="1"/>
        <v>950.06830312687111</v>
      </c>
      <c r="C40" s="1">
        <f t="shared" si="2"/>
        <v>470.67342351892978</v>
      </c>
      <c r="D40" s="1">
        <f t="shared" si="3"/>
        <v>479.39487960794133</v>
      </c>
      <c r="E40" s="1">
        <f t="shared" si="4"/>
        <v>63448.643857539915</v>
      </c>
    </row>
    <row r="41" spans="1:5">
      <c r="A41">
        <f t="shared" si="0"/>
        <v>28</v>
      </c>
      <c r="B41" s="1">
        <f t="shared" si="1"/>
        <v>950.06830312687111</v>
      </c>
      <c r="C41" s="1">
        <f t="shared" si="2"/>
        <v>474.20347419532175</v>
      </c>
      <c r="D41" s="1">
        <f t="shared" si="3"/>
        <v>475.86482893154937</v>
      </c>
      <c r="E41" s="1">
        <f t="shared" si="4"/>
        <v>62974.44038334459</v>
      </c>
    </row>
    <row r="42" spans="1:5">
      <c r="A42">
        <f t="shared" si="0"/>
        <v>29</v>
      </c>
      <c r="B42" s="1">
        <f t="shared" si="1"/>
        <v>950.06830312687111</v>
      </c>
      <c r="C42" s="1">
        <f t="shared" si="2"/>
        <v>477.76000025178672</v>
      </c>
      <c r="D42" s="1">
        <f t="shared" si="3"/>
        <v>472.30830287508439</v>
      </c>
      <c r="E42" s="1">
        <f t="shared" si="4"/>
        <v>62496.680383092804</v>
      </c>
    </row>
    <row r="43" spans="1:5">
      <c r="A43">
        <f t="shared" si="0"/>
        <v>30</v>
      </c>
      <c r="B43" s="1">
        <f t="shared" si="1"/>
        <v>950.06830312687111</v>
      </c>
      <c r="C43" s="1">
        <f t="shared" si="2"/>
        <v>481.34320025367509</v>
      </c>
      <c r="D43" s="1">
        <f t="shared" si="3"/>
        <v>468.72510287319602</v>
      </c>
      <c r="E43" s="1">
        <f t="shared" si="4"/>
        <v>62015.337182839132</v>
      </c>
    </row>
    <row r="44" spans="1:5">
      <c r="A44">
        <f t="shared" si="0"/>
        <v>31</v>
      </c>
      <c r="B44" s="1">
        <f t="shared" si="1"/>
        <v>950.06830312687111</v>
      </c>
      <c r="C44" s="1">
        <f t="shared" si="2"/>
        <v>484.95327425557764</v>
      </c>
      <c r="D44" s="1">
        <f t="shared" si="3"/>
        <v>465.11502887129348</v>
      </c>
      <c r="E44" s="1">
        <f t="shared" si="4"/>
        <v>61530.383908583557</v>
      </c>
    </row>
    <row r="45" spans="1:5">
      <c r="A45">
        <f t="shared" si="0"/>
        <v>32</v>
      </c>
      <c r="B45" s="1">
        <f t="shared" si="1"/>
        <v>950.06830312687111</v>
      </c>
      <c r="C45" s="1">
        <f t="shared" si="2"/>
        <v>488.59042381249446</v>
      </c>
      <c r="D45" s="1">
        <f t="shared" si="3"/>
        <v>461.47787931437665</v>
      </c>
      <c r="E45" s="1">
        <f t="shared" si="4"/>
        <v>61041.793484771064</v>
      </c>
    </row>
    <row r="46" spans="1:5">
      <c r="A46">
        <f t="shared" si="0"/>
        <v>33</v>
      </c>
      <c r="B46" s="1">
        <f t="shared" si="1"/>
        <v>950.06830312687111</v>
      </c>
      <c r="C46" s="1">
        <f t="shared" si="2"/>
        <v>492.25485199108817</v>
      </c>
      <c r="D46" s="1">
        <f t="shared" si="3"/>
        <v>457.81345113578294</v>
      </c>
      <c r="E46" s="1">
        <f t="shared" si="4"/>
        <v>60549.538632779979</v>
      </c>
    </row>
    <row r="47" spans="1:5">
      <c r="A47">
        <f t="shared" si="0"/>
        <v>34</v>
      </c>
      <c r="B47" s="1">
        <f t="shared" si="1"/>
        <v>950.06830312687111</v>
      </c>
      <c r="C47" s="1">
        <f t="shared" si="2"/>
        <v>495.9467633810213</v>
      </c>
      <c r="D47" s="1">
        <f t="shared" si="3"/>
        <v>454.12153974584982</v>
      </c>
      <c r="E47" s="1">
        <f t="shared" si="4"/>
        <v>60053.591869398959</v>
      </c>
    </row>
    <row r="48" spans="1:5">
      <c r="A48">
        <f t="shared" si="0"/>
        <v>35</v>
      </c>
      <c r="B48" s="1">
        <f t="shared" si="1"/>
        <v>950.06830312687111</v>
      </c>
      <c r="C48" s="1">
        <f t="shared" si="2"/>
        <v>499.66636410637892</v>
      </c>
      <c r="D48" s="1">
        <f t="shared" si="3"/>
        <v>450.40193902049219</v>
      </c>
      <c r="E48" s="1">
        <f t="shared" si="4"/>
        <v>59553.92550529258</v>
      </c>
    </row>
    <row r="49" spans="1:5">
      <c r="A49">
        <f t="shared" si="0"/>
        <v>36</v>
      </c>
      <c r="B49" s="1">
        <f t="shared" si="1"/>
        <v>950.06830312687111</v>
      </c>
      <c r="C49" s="1">
        <f t="shared" si="2"/>
        <v>503.4138618371768</v>
      </c>
      <c r="D49" s="1">
        <f t="shared" si="3"/>
        <v>446.65444128969432</v>
      </c>
      <c r="E49" s="1">
        <f t="shared" si="4"/>
        <v>59050.5116434554</v>
      </c>
    </row>
    <row r="50" spans="1:5">
      <c r="A50">
        <f t="shared" si="0"/>
        <v>37</v>
      </c>
      <c r="B50" s="1">
        <f t="shared" si="1"/>
        <v>950.06830312687111</v>
      </c>
      <c r="C50" s="1">
        <f t="shared" si="2"/>
        <v>507.18946580095565</v>
      </c>
      <c r="D50" s="1">
        <f t="shared" si="3"/>
        <v>442.87883732591547</v>
      </c>
      <c r="E50" s="1">
        <f t="shared" si="4"/>
        <v>58543.322177654445</v>
      </c>
    </row>
    <row r="51" spans="1:5">
      <c r="A51">
        <f t="shared" si="0"/>
        <v>38</v>
      </c>
      <c r="B51" s="1">
        <f t="shared" si="1"/>
        <v>950.06830312687111</v>
      </c>
      <c r="C51" s="1">
        <f t="shared" si="2"/>
        <v>510.99338679446277</v>
      </c>
      <c r="D51" s="1">
        <f t="shared" si="3"/>
        <v>439.07491633240835</v>
      </c>
      <c r="E51" s="1">
        <f t="shared" si="4"/>
        <v>58032.328790859981</v>
      </c>
    </row>
    <row r="52" spans="1:5">
      <c r="A52">
        <f t="shared" si="0"/>
        <v>39</v>
      </c>
      <c r="B52" s="1">
        <f t="shared" si="1"/>
        <v>950.06830312687111</v>
      </c>
      <c r="C52" s="1">
        <f t="shared" si="2"/>
        <v>514.82583719542129</v>
      </c>
      <c r="D52" s="1">
        <f t="shared" si="3"/>
        <v>435.24246593144983</v>
      </c>
      <c r="E52" s="1">
        <f t="shared" si="4"/>
        <v>57517.50295366456</v>
      </c>
    </row>
    <row r="53" spans="1:5">
      <c r="A53">
        <f t="shared" si="0"/>
        <v>40</v>
      </c>
      <c r="B53" s="1">
        <f t="shared" si="1"/>
        <v>950.06830312687111</v>
      </c>
      <c r="C53" s="1">
        <f t="shared" si="2"/>
        <v>518.68703097438697</v>
      </c>
      <c r="D53" s="1">
        <f t="shared" si="3"/>
        <v>431.3812721524842</v>
      </c>
      <c r="E53" s="1">
        <f t="shared" si="4"/>
        <v>56998.81592269017</v>
      </c>
    </row>
    <row r="54" spans="1:5">
      <c r="A54">
        <f t="shared" si="0"/>
        <v>41</v>
      </c>
      <c r="B54" s="1">
        <f t="shared" si="1"/>
        <v>950.06830312687111</v>
      </c>
      <c r="C54" s="1">
        <f t="shared" si="2"/>
        <v>522.57718370669488</v>
      </c>
      <c r="D54" s="1">
        <f t="shared" si="3"/>
        <v>427.49111942017623</v>
      </c>
      <c r="E54" s="1">
        <f t="shared" si="4"/>
        <v>56476.238738983477</v>
      </c>
    </row>
    <row r="55" spans="1:5">
      <c r="A55">
        <f t="shared" si="0"/>
        <v>42</v>
      </c>
      <c r="B55" s="1">
        <f t="shared" si="1"/>
        <v>950.06830312687111</v>
      </c>
      <c r="C55" s="1">
        <f t="shared" si="2"/>
        <v>526.49651258449512</v>
      </c>
      <c r="D55" s="1">
        <f t="shared" si="3"/>
        <v>423.57179054237605</v>
      </c>
      <c r="E55" s="1">
        <f t="shared" si="4"/>
        <v>55949.742226398979</v>
      </c>
    </row>
    <row r="56" spans="1:5">
      <c r="A56">
        <f t="shared" si="0"/>
        <v>43</v>
      </c>
      <c r="B56" s="1">
        <f t="shared" si="1"/>
        <v>950.06830312687111</v>
      </c>
      <c r="C56" s="1">
        <f t="shared" si="2"/>
        <v>530.44523642887884</v>
      </c>
      <c r="D56" s="1">
        <f t="shared" si="3"/>
        <v>419.62306669799233</v>
      </c>
      <c r="E56" s="1">
        <f t="shared" si="4"/>
        <v>55419.296989970098</v>
      </c>
    </row>
    <row r="57" spans="1:5">
      <c r="A57">
        <f t="shared" si="0"/>
        <v>44</v>
      </c>
      <c r="B57" s="1">
        <f t="shared" si="1"/>
        <v>950.06830312687111</v>
      </c>
      <c r="C57" s="1">
        <f t="shared" si="2"/>
        <v>534.42357570209538</v>
      </c>
      <c r="D57" s="1">
        <f t="shared" si="3"/>
        <v>415.64472742477574</v>
      </c>
      <c r="E57" s="1">
        <f t="shared" si="4"/>
        <v>54884.873414268004</v>
      </c>
    </row>
    <row r="58" spans="1:5">
      <c r="A58">
        <f t="shared" si="0"/>
        <v>45</v>
      </c>
      <c r="B58" s="1">
        <f t="shared" si="1"/>
        <v>950.06830312687111</v>
      </c>
      <c r="C58" s="1">
        <f t="shared" si="2"/>
        <v>538.43175251986111</v>
      </c>
      <c r="D58" s="1">
        <f t="shared" si="3"/>
        <v>411.63655060701001</v>
      </c>
      <c r="E58" s="1">
        <f t="shared" si="4"/>
        <v>54346.44166174814</v>
      </c>
    </row>
    <row r="59" spans="1:5">
      <c r="A59">
        <f t="shared" si="0"/>
        <v>46</v>
      </c>
      <c r="B59" s="1">
        <f t="shared" si="1"/>
        <v>950.06830312687111</v>
      </c>
      <c r="C59" s="1">
        <f t="shared" si="2"/>
        <v>542.46999066376009</v>
      </c>
      <c r="D59" s="1">
        <f t="shared" si="3"/>
        <v>407.59831246311103</v>
      </c>
      <c r="E59" s="1">
        <f t="shared" si="4"/>
        <v>53803.971671084379</v>
      </c>
    </row>
    <row r="60" spans="1:5">
      <c r="A60">
        <f t="shared" si="0"/>
        <v>47</v>
      </c>
      <c r="B60" s="1">
        <f t="shared" si="1"/>
        <v>950.06830312687111</v>
      </c>
      <c r="C60" s="1">
        <f t="shared" si="2"/>
        <v>546.53851559373834</v>
      </c>
      <c r="D60" s="1">
        <f t="shared" si="3"/>
        <v>403.52978753313283</v>
      </c>
      <c r="E60" s="1">
        <f t="shared" si="4"/>
        <v>53257.433155490638</v>
      </c>
    </row>
    <row r="61" spans="1:5">
      <c r="A61">
        <f t="shared" si="0"/>
        <v>48</v>
      </c>
      <c r="B61" s="1">
        <f t="shared" si="1"/>
        <v>950.06830312687111</v>
      </c>
      <c r="C61" s="1">
        <f t="shared" si="2"/>
        <v>550.63755446069126</v>
      </c>
      <c r="D61" s="1">
        <f t="shared" si="3"/>
        <v>399.4307486661798</v>
      </c>
      <c r="E61" s="1">
        <f t="shared" si="4"/>
        <v>52706.795601029946</v>
      </c>
    </row>
    <row r="62" spans="1:5">
      <c r="A62">
        <f t="shared" si="0"/>
        <v>49</v>
      </c>
      <c r="B62" s="1">
        <f t="shared" si="1"/>
        <v>950.06830312687111</v>
      </c>
      <c r="C62" s="1">
        <f t="shared" si="2"/>
        <v>554.76733611914653</v>
      </c>
      <c r="D62" s="1">
        <f t="shared" si="3"/>
        <v>395.30096700772458</v>
      </c>
      <c r="E62" s="1">
        <f t="shared" si="4"/>
        <v>52152.028264910798</v>
      </c>
    </row>
    <row r="63" spans="1:5">
      <c r="A63">
        <f t="shared" si="0"/>
        <v>50</v>
      </c>
      <c r="B63" s="1">
        <f t="shared" si="1"/>
        <v>950.06830312687111</v>
      </c>
      <c r="C63" s="1">
        <f t="shared" si="2"/>
        <v>558.92809114004012</v>
      </c>
      <c r="D63" s="1">
        <f t="shared" si="3"/>
        <v>391.14021198683099</v>
      </c>
      <c r="E63" s="1">
        <f t="shared" si="4"/>
        <v>51593.100173770756</v>
      </c>
    </row>
    <row r="64" spans="1:5">
      <c r="A64">
        <f t="shared" si="0"/>
        <v>51</v>
      </c>
      <c r="B64" s="1">
        <f t="shared" si="1"/>
        <v>950.06830312687111</v>
      </c>
      <c r="C64" s="1">
        <f t="shared" si="2"/>
        <v>563.12005182359053</v>
      </c>
      <c r="D64" s="1">
        <f t="shared" si="3"/>
        <v>386.94825130328064</v>
      </c>
      <c r="E64" s="1">
        <f t="shared" si="4"/>
        <v>51029.980121947163</v>
      </c>
    </row>
    <row r="65" spans="1:5">
      <c r="A65">
        <f t="shared" si="0"/>
        <v>52</v>
      </c>
      <c r="B65" s="1">
        <f t="shared" si="1"/>
        <v>950.06830312687111</v>
      </c>
      <c r="C65" s="1">
        <f t="shared" si="2"/>
        <v>567.34345221226738</v>
      </c>
      <c r="D65" s="1">
        <f t="shared" si="3"/>
        <v>382.72485091460373</v>
      </c>
      <c r="E65" s="1">
        <f t="shared" si="4"/>
        <v>50462.636669734893</v>
      </c>
    </row>
    <row r="66" spans="1:5">
      <c r="A66">
        <f t="shared" si="0"/>
        <v>53</v>
      </c>
      <c r="B66" s="1">
        <f t="shared" si="1"/>
        <v>950.06830312687111</v>
      </c>
      <c r="C66" s="1">
        <f t="shared" si="2"/>
        <v>571.59852810385951</v>
      </c>
      <c r="D66" s="1">
        <f t="shared" si="3"/>
        <v>378.46977502301166</v>
      </c>
      <c r="E66" s="1">
        <f t="shared" si="4"/>
        <v>49891.038141631034</v>
      </c>
    </row>
    <row r="67" spans="1:5">
      <c r="A67">
        <f t="shared" si="0"/>
        <v>54</v>
      </c>
      <c r="B67" s="1">
        <f t="shared" si="1"/>
        <v>950.06830312687111</v>
      </c>
      <c r="C67" s="1">
        <f t="shared" si="2"/>
        <v>575.88551706463841</v>
      </c>
      <c r="D67" s="1">
        <f t="shared" si="3"/>
        <v>374.18278606223276</v>
      </c>
      <c r="E67" s="1">
        <f t="shared" si="4"/>
        <v>49315.152624566399</v>
      </c>
    </row>
    <row r="68" spans="1:5">
      <c r="A68">
        <f t="shared" si="0"/>
        <v>55</v>
      </c>
      <c r="B68" s="1">
        <f t="shared" si="1"/>
        <v>950.06830312687111</v>
      </c>
      <c r="C68" s="1">
        <f t="shared" si="2"/>
        <v>580.20465844262321</v>
      </c>
      <c r="D68" s="1">
        <f t="shared" si="3"/>
        <v>369.86364468424796</v>
      </c>
      <c r="E68" s="1">
        <f t="shared" si="4"/>
        <v>48734.947966123778</v>
      </c>
    </row>
    <row r="69" spans="1:5">
      <c r="A69">
        <f t="shared" si="0"/>
        <v>56</v>
      </c>
      <c r="B69" s="1">
        <f t="shared" si="1"/>
        <v>950.06830312687111</v>
      </c>
      <c r="C69" s="1">
        <f t="shared" si="2"/>
        <v>584.55619338094277</v>
      </c>
      <c r="D69" s="1">
        <f t="shared" si="3"/>
        <v>365.51210974592834</v>
      </c>
      <c r="E69" s="1">
        <f t="shared" si="4"/>
        <v>48150.391772742834</v>
      </c>
    </row>
    <row r="70" spans="1:5">
      <c r="A70">
        <f t="shared" si="0"/>
        <v>57</v>
      </c>
      <c r="B70" s="1">
        <f t="shared" si="1"/>
        <v>950.06830312687111</v>
      </c>
      <c r="C70" s="1">
        <f t="shared" si="2"/>
        <v>588.9403648312998</v>
      </c>
      <c r="D70" s="1">
        <f t="shared" si="3"/>
        <v>361.12793829557125</v>
      </c>
      <c r="E70" s="1">
        <f t="shared" si="4"/>
        <v>47561.451407911532</v>
      </c>
    </row>
    <row r="71" spans="1:5">
      <c r="A71">
        <f t="shared" si="0"/>
        <v>58</v>
      </c>
      <c r="B71" s="1">
        <f t="shared" si="1"/>
        <v>950.06830312687111</v>
      </c>
      <c r="C71" s="1">
        <f t="shared" si="2"/>
        <v>593.35741756753464</v>
      </c>
      <c r="D71" s="1">
        <f t="shared" si="3"/>
        <v>356.71088555933648</v>
      </c>
      <c r="E71" s="1">
        <f t="shared" si="4"/>
        <v>46968.093990344001</v>
      </c>
    </row>
    <row r="72" spans="1:5">
      <c r="A72">
        <f t="shared" si="0"/>
        <v>59</v>
      </c>
      <c r="B72" s="1">
        <f t="shared" si="1"/>
        <v>950.06830312687111</v>
      </c>
      <c r="C72" s="1">
        <f t="shared" si="2"/>
        <v>597.80759819929108</v>
      </c>
      <c r="D72" s="1">
        <f t="shared" si="3"/>
        <v>352.26070492757998</v>
      </c>
      <c r="E72" s="1">
        <f t="shared" si="4"/>
        <v>46370.286392144713</v>
      </c>
    </row>
    <row r="73" spans="1:5">
      <c r="A73">
        <f t="shared" si="0"/>
        <v>60</v>
      </c>
      <c r="B73" s="1">
        <f t="shared" si="1"/>
        <v>950.06830312687111</v>
      </c>
      <c r="C73" s="1">
        <f t="shared" si="2"/>
        <v>602.29115518578578</v>
      </c>
      <c r="D73" s="1">
        <f t="shared" si="3"/>
        <v>347.77714794108533</v>
      </c>
      <c r="E73" s="1">
        <f t="shared" si="4"/>
        <v>45767.99523695893</v>
      </c>
    </row>
    <row r="74" spans="1:5">
      <c r="A74">
        <f t="shared" si="0"/>
        <v>61</v>
      </c>
      <c r="B74" s="1">
        <f t="shared" si="1"/>
        <v>950.06830312687111</v>
      </c>
      <c r="C74" s="1">
        <f t="shared" si="2"/>
        <v>606.8083388496791</v>
      </c>
      <c r="D74" s="1">
        <f t="shared" si="3"/>
        <v>343.25996427719195</v>
      </c>
      <c r="E74" s="1">
        <f t="shared" si="4"/>
        <v>45161.186898109248</v>
      </c>
    </row>
    <row r="75" spans="1:5">
      <c r="A75">
        <f t="shared" si="0"/>
        <v>62</v>
      </c>
      <c r="B75" s="1">
        <f t="shared" si="1"/>
        <v>950.06830312687111</v>
      </c>
      <c r="C75" s="1">
        <f t="shared" si="2"/>
        <v>611.35940139105173</v>
      </c>
      <c r="D75" s="1">
        <f t="shared" si="3"/>
        <v>338.70890173581932</v>
      </c>
      <c r="E75" s="1">
        <f t="shared" si="4"/>
        <v>44549.827496718193</v>
      </c>
    </row>
    <row r="76" spans="1:5">
      <c r="A76">
        <f t="shared" si="0"/>
        <v>63</v>
      </c>
      <c r="B76" s="1">
        <f t="shared" si="1"/>
        <v>950.06830312687111</v>
      </c>
      <c r="C76" s="1">
        <f t="shared" si="2"/>
        <v>615.9445969014846</v>
      </c>
      <c r="D76" s="1">
        <f t="shared" si="3"/>
        <v>334.12370622538646</v>
      </c>
      <c r="E76" s="1">
        <f t="shared" si="4"/>
        <v>43933.882899816708</v>
      </c>
    </row>
    <row r="77" spans="1:5">
      <c r="A77">
        <f t="shared" si="0"/>
        <v>64</v>
      </c>
      <c r="B77" s="1">
        <f t="shared" si="1"/>
        <v>950.06830312687111</v>
      </c>
      <c r="C77" s="1">
        <f t="shared" si="2"/>
        <v>620.56418137824585</v>
      </c>
      <c r="D77" s="1">
        <f t="shared" si="3"/>
        <v>329.50412174862532</v>
      </c>
      <c r="E77" s="1">
        <f t="shared" si="4"/>
        <v>43313.318718438459</v>
      </c>
    </row>
    <row r="78" spans="1:5">
      <c r="A78">
        <f t="shared" si="0"/>
        <v>65</v>
      </c>
      <c r="B78" s="1">
        <f t="shared" si="1"/>
        <v>950.06830312687111</v>
      </c>
      <c r="C78" s="1">
        <f t="shared" si="2"/>
        <v>625.21841273858263</v>
      </c>
      <c r="D78" s="1">
        <f t="shared" si="3"/>
        <v>324.84989038828843</v>
      </c>
      <c r="E78" s="1">
        <f t="shared" si="4"/>
        <v>42688.100305699874</v>
      </c>
    </row>
    <row r="79" spans="1:5">
      <c r="A79">
        <f t="shared" si="0"/>
        <v>66</v>
      </c>
      <c r="B79" s="1">
        <f t="shared" si="1"/>
        <v>950.06830312687111</v>
      </c>
      <c r="C79" s="1">
        <f t="shared" si="2"/>
        <v>629.90755083412205</v>
      </c>
      <c r="D79" s="1">
        <f t="shared" si="3"/>
        <v>320.16075229274907</v>
      </c>
      <c r="E79" s="1">
        <f t="shared" si="4"/>
        <v>42058.192754865755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950.06830312687111</v>
      </c>
      <c r="C80" s="1">
        <f t="shared" ref="C80:C143" si="7">IF(A80="","",B80-D80)</f>
        <v>634.63185746537795</v>
      </c>
      <c r="D80" s="1">
        <f t="shared" ref="D80:D143" si="8">IF(A80="","",(E79*($B$6/$B$8)))</f>
        <v>315.43644566149317</v>
      </c>
      <c r="E80" s="1">
        <f t="shared" ref="E80:E143" si="9">IF(A80="","",E79-C80)</f>
        <v>41423.560897400377</v>
      </c>
    </row>
    <row r="81" spans="1:5">
      <c r="A81">
        <f t="shared" si="5"/>
        <v>68</v>
      </c>
      <c r="B81" s="1">
        <f t="shared" si="6"/>
        <v>950.06830312687111</v>
      </c>
      <c r="C81" s="1">
        <f t="shared" si="7"/>
        <v>639.3915963963683</v>
      </c>
      <c r="D81" s="1">
        <f t="shared" si="8"/>
        <v>310.67670673050281</v>
      </c>
      <c r="E81" s="1">
        <f t="shared" si="9"/>
        <v>40784.169301004011</v>
      </c>
    </row>
    <row r="82" spans="1:5">
      <c r="A82">
        <f t="shared" si="5"/>
        <v>69</v>
      </c>
      <c r="B82" s="1">
        <f t="shared" si="6"/>
        <v>950.06830312687111</v>
      </c>
      <c r="C82" s="1">
        <f t="shared" si="7"/>
        <v>644.18703336934107</v>
      </c>
      <c r="D82" s="1">
        <f t="shared" si="8"/>
        <v>305.88126975753005</v>
      </c>
      <c r="E82" s="1">
        <f t="shared" si="9"/>
        <v>40139.982267634667</v>
      </c>
    </row>
    <row r="83" spans="1:5">
      <c r="A83">
        <f t="shared" si="5"/>
        <v>70</v>
      </c>
      <c r="B83" s="1">
        <f t="shared" si="6"/>
        <v>950.06830312687111</v>
      </c>
      <c r="C83" s="1">
        <f t="shared" si="7"/>
        <v>649.01843611961112</v>
      </c>
      <c r="D83" s="1">
        <f t="shared" si="8"/>
        <v>301.04986700725999</v>
      </c>
      <c r="E83" s="1">
        <f t="shared" si="9"/>
        <v>39490.963831515059</v>
      </c>
    </row>
    <row r="84" spans="1:5">
      <c r="A84">
        <f t="shared" si="5"/>
        <v>71</v>
      </c>
      <c r="B84" s="1">
        <f t="shared" si="6"/>
        <v>950.06830312687111</v>
      </c>
      <c r="C84" s="1">
        <f t="shared" si="7"/>
        <v>653.88607439050816</v>
      </c>
      <c r="D84" s="1">
        <f t="shared" si="8"/>
        <v>296.1822287363629</v>
      </c>
      <c r="E84" s="1">
        <f t="shared" si="9"/>
        <v>38837.077757124549</v>
      </c>
    </row>
    <row r="85" spans="1:5">
      <c r="A85">
        <f t="shared" si="5"/>
        <v>72</v>
      </c>
      <c r="B85" s="1">
        <f t="shared" si="6"/>
        <v>950.06830312687111</v>
      </c>
      <c r="C85" s="1">
        <f t="shared" si="7"/>
        <v>658.79021994843697</v>
      </c>
      <c r="D85" s="1">
        <f t="shared" si="8"/>
        <v>291.27808317843409</v>
      </c>
      <c r="E85" s="1">
        <f t="shared" si="9"/>
        <v>38178.287537176111</v>
      </c>
    </row>
    <row r="86" spans="1:5">
      <c r="A86">
        <f t="shared" si="5"/>
        <v>73</v>
      </c>
      <c r="B86" s="1">
        <f t="shared" si="6"/>
        <v>950.06830312687111</v>
      </c>
      <c r="C86" s="1">
        <f t="shared" si="7"/>
        <v>663.73114659805037</v>
      </c>
      <c r="D86" s="1">
        <f t="shared" si="8"/>
        <v>286.3371565288208</v>
      </c>
      <c r="E86" s="1">
        <f t="shared" si="9"/>
        <v>37514.556390578058</v>
      </c>
    </row>
    <row r="87" spans="1:5">
      <c r="A87">
        <f t="shared" si="5"/>
        <v>74</v>
      </c>
      <c r="B87" s="1">
        <f t="shared" si="6"/>
        <v>950.06830312687111</v>
      </c>
      <c r="C87" s="1">
        <f t="shared" si="7"/>
        <v>668.70913019753561</v>
      </c>
      <c r="D87" s="1">
        <f t="shared" si="8"/>
        <v>281.35917292933544</v>
      </c>
      <c r="E87" s="1">
        <f t="shared" si="9"/>
        <v>36845.84726038052</v>
      </c>
    </row>
    <row r="88" spans="1:5">
      <c r="A88">
        <f t="shared" si="5"/>
        <v>75</v>
      </c>
      <c r="B88" s="1">
        <f t="shared" si="6"/>
        <v>950.06830312687111</v>
      </c>
      <c r="C88" s="1">
        <f t="shared" si="7"/>
        <v>673.72444867401714</v>
      </c>
      <c r="D88" s="1">
        <f t="shared" si="8"/>
        <v>276.34385445285392</v>
      </c>
      <c r="E88" s="1">
        <f t="shared" si="9"/>
        <v>36172.122811706504</v>
      </c>
    </row>
    <row r="89" spans="1:5">
      <c r="A89">
        <f t="shared" si="5"/>
        <v>76</v>
      </c>
      <c r="B89" s="1">
        <f t="shared" si="6"/>
        <v>950.06830312687111</v>
      </c>
      <c r="C89" s="1">
        <f t="shared" si="7"/>
        <v>678.77738203907234</v>
      </c>
      <c r="D89" s="1">
        <f t="shared" si="8"/>
        <v>271.29092108779878</v>
      </c>
      <c r="E89" s="1">
        <f t="shared" si="9"/>
        <v>35493.345429667432</v>
      </c>
    </row>
    <row r="90" spans="1:5">
      <c r="A90">
        <f t="shared" si="5"/>
        <v>77</v>
      </c>
      <c r="B90" s="1">
        <f t="shared" si="6"/>
        <v>950.06830312687111</v>
      </c>
      <c r="C90" s="1">
        <f t="shared" si="7"/>
        <v>683.86821240436541</v>
      </c>
      <c r="D90" s="1">
        <f t="shared" si="8"/>
        <v>266.20009072250571</v>
      </c>
      <c r="E90" s="1">
        <f t="shared" si="9"/>
        <v>34809.477217263069</v>
      </c>
    </row>
    <row r="91" spans="1:5">
      <c r="A91">
        <f t="shared" si="5"/>
        <v>78</v>
      </c>
      <c r="B91" s="1">
        <f t="shared" si="6"/>
        <v>950.06830312687111</v>
      </c>
      <c r="C91" s="1">
        <f t="shared" si="7"/>
        <v>688.99722399739812</v>
      </c>
      <c r="D91" s="1">
        <f t="shared" si="8"/>
        <v>261.07107912947299</v>
      </c>
      <c r="E91" s="1">
        <f t="shared" si="9"/>
        <v>34120.479993265668</v>
      </c>
    </row>
    <row r="92" spans="1:5">
      <c r="A92">
        <f t="shared" si="5"/>
        <v>79</v>
      </c>
      <c r="B92" s="1">
        <f t="shared" si="6"/>
        <v>950.06830312687111</v>
      </c>
      <c r="C92" s="1">
        <f t="shared" si="7"/>
        <v>694.16470317737867</v>
      </c>
      <c r="D92" s="1">
        <f t="shared" si="8"/>
        <v>255.9035999494925</v>
      </c>
      <c r="E92" s="1">
        <f t="shared" si="9"/>
        <v>33426.315290088292</v>
      </c>
    </row>
    <row r="93" spans="1:5">
      <c r="A93">
        <f t="shared" si="5"/>
        <v>80</v>
      </c>
      <c r="B93" s="1">
        <f t="shared" si="6"/>
        <v>950.06830312687111</v>
      </c>
      <c r="C93" s="1">
        <f t="shared" si="7"/>
        <v>699.37093845120899</v>
      </c>
      <c r="D93" s="1">
        <f t="shared" si="8"/>
        <v>250.69736467566219</v>
      </c>
      <c r="E93" s="1">
        <f t="shared" si="9"/>
        <v>32726.944351637085</v>
      </c>
    </row>
    <row r="94" spans="1:5">
      <c r="A94">
        <f t="shared" si="5"/>
        <v>81</v>
      </c>
      <c r="B94" s="1">
        <f t="shared" si="6"/>
        <v>950.06830312687111</v>
      </c>
      <c r="C94" s="1">
        <f t="shared" si="7"/>
        <v>704.61622048959293</v>
      </c>
      <c r="D94" s="1">
        <f t="shared" si="8"/>
        <v>245.45208263727812</v>
      </c>
      <c r="E94" s="1">
        <f t="shared" si="9"/>
        <v>32022.328131147493</v>
      </c>
    </row>
    <row r="95" spans="1:5">
      <c r="A95">
        <f t="shared" si="5"/>
        <v>82</v>
      </c>
      <c r="B95" s="1">
        <f t="shared" si="6"/>
        <v>950.06830312687111</v>
      </c>
      <c r="C95" s="1">
        <f t="shared" si="7"/>
        <v>709.90084214326498</v>
      </c>
      <c r="D95" s="1">
        <f t="shared" si="8"/>
        <v>240.16746098360619</v>
      </c>
      <c r="E95" s="1">
        <f t="shared" si="9"/>
        <v>31312.427289004227</v>
      </c>
    </row>
    <row r="96" spans="1:5">
      <c r="A96">
        <f t="shared" si="5"/>
        <v>83</v>
      </c>
      <c r="B96" s="1">
        <f t="shared" si="6"/>
        <v>950.06830312687111</v>
      </c>
      <c r="C96" s="1">
        <f t="shared" si="7"/>
        <v>715.22509845933939</v>
      </c>
      <c r="D96" s="1">
        <f t="shared" si="8"/>
        <v>234.84320466753169</v>
      </c>
      <c r="E96" s="1">
        <f t="shared" si="9"/>
        <v>30597.202190544886</v>
      </c>
    </row>
    <row r="97" spans="1:5">
      <c r="A97">
        <f t="shared" si="5"/>
        <v>84</v>
      </c>
      <c r="B97" s="1">
        <f t="shared" si="6"/>
        <v>950.06830312687111</v>
      </c>
      <c r="C97" s="1">
        <f t="shared" si="7"/>
        <v>720.58928669778447</v>
      </c>
      <c r="D97" s="1">
        <f t="shared" si="8"/>
        <v>229.47901642908664</v>
      </c>
      <c r="E97" s="1">
        <f t="shared" si="9"/>
        <v>29876.612903847101</v>
      </c>
    </row>
    <row r="98" spans="1:5">
      <c r="A98">
        <f t="shared" si="5"/>
        <v>85</v>
      </c>
      <c r="B98" s="1">
        <f t="shared" si="6"/>
        <v>950.06830312687111</v>
      </c>
      <c r="C98" s="1">
        <f t="shared" si="7"/>
        <v>725.99370634801789</v>
      </c>
      <c r="D98" s="1">
        <f t="shared" si="8"/>
        <v>224.07459677885325</v>
      </c>
      <c r="E98" s="1">
        <f t="shared" si="9"/>
        <v>29150.619197499083</v>
      </c>
    </row>
    <row r="99" spans="1:5">
      <c r="A99">
        <f t="shared" si="5"/>
        <v>86</v>
      </c>
      <c r="B99" s="1">
        <f t="shared" si="6"/>
        <v>950.06830312687111</v>
      </c>
      <c r="C99" s="1">
        <f t="shared" si="7"/>
        <v>731.43865914562798</v>
      </c>
      <c r="D99" s="1">
        <f t="shared" si="8"/>
        <v>218.62964398124311</v>
      </c>
      <c r="E99" s="1">
        <f t="shared" si="9"/>
        <v>28419.180538353456</v>
      </c>
    </row>
    <row r="100" spans="1:5">
      <c r="A100">
        <f t="shared" si="5"/>
        <v>87</v>
      </c>
      <c r="B100" s="1">
        <f t="shared" si="6"/>
        <v>950.06830312687111</v>
      </c>
      <c r="C100" s="1">
        <f t="shared" si="7"/>
        <v>736.92444908922016</v>
      </c>
      <c r="D100" s="1">
        <f t="shared" si="8"/>
        <v>213.1438540376509</v>
      </c>
      <c r="E100" s="1">
        <f t="shared" si="9"/>
        <v>27682.256089264236</v>
      </c>
    </row>
    <row r="101" spans="1:5">
      <c r="A101">
        <f t="shared" si="5"/>
        <v>88</v>
      </c>
      <c r="B101" s="1">
        <f t="shared" si="6"/>
        <v>950.06830312687111</v>
      </c>
      <c r="C101" s="1">
        <f t="shared" si="7"/>
        <v>742.4513824573894</v>
      </c>
      <c r="D101" s="1">
        <f t="shared" si="8"/>
        <v>207.61692066948177</v>
      </c>
      <c r="E101" s="1">
        <f t="shared" si="9"/>
        <v>26939.804706806848</v>
      </c>
    </row>
    <row r="102" spans="1:5">
      <c r="A102">
        <f t="shared" si="5"/>
        <v>89</v>
      </c>
      <c r="B102" s="1">
        <f t="shared" si="6"/>
        <v>950.06830312687111</v>
      </c>
      <c r="C102" s="1">
        <f t="shared" si="7"/>
        <v>748.01976782581983</v>
      </c>
      <c r="D102" s="1">
        <f t="shared" si="8"/>
        <v>202.04853530105134</v>
      </c>
      <c r="E102" s="1">
        <f t="shared" si="9"/>
        <v>26191.784938981029</v>
      </c>
    </row>
    <row r="103" spans="1:5">
      <c r="A103">
        <f t="shared" si="5"/>
        <v>90</v>
      </c>
      <c r="B103" s="1">
        <f t="shared" si="6"/>
        <v>950.06830312687111</v>
      </c>
      <c r="C103" s="1">
        <f t="shared" si="7"/>
        <v>753.62991608451341</v>
      </c>
      <c r="D103" s="1">
        <f t="shared" si="8"/>
        <v>196.4383870423577</v>
      </c>
      <c r="E103" s="1">
        <f t="shared" si="9"/>
        <v>25438.155022896517</v>
      </c>
    </row>
    <row r="104" spans="1:5">
      <c r="A104">
        <f t="shared" si="5"/>
        <v>91</v>
      </c>
      <c r="B104" s="1">
        <f t="shared" si="6"/>
        <v>950.06830312687111</v>
      </c>
      <c r="C104" s="1">
        <f t="shared" si="7"/>
        <v>759.28214045514721</v>
      </c>
      <c r="D104" s="1">
        <f t="shared" si="8"/>
        <v>190.78616267172387</v>
      </c>
      <c r="E104" s="1">
        <f t="shared" si="9"/>
        <v>24678.87288244137</v>
      </c>
    </row>
    <row r="105" spans="1:5">
      <c r="A105">
        <f t="shared" si="5"/>
        <v>92</v>
      </c>
      <c r="B105" s="1">
        <f t="shared" si="6"/>
        <v>950.06830312687111</v>
      </c>
      <c r="C105" s="1">
        <f t="shared" si="7"/>
        <v>764.97675650856081</v>
      </c>
      <c r="D105" s="1">
        <f t="shared" si="8"/>
        <v>185.09154661831028</v>
      </c>
      <c r="E105" s="1">
        <f t="shared" si="9"/>
        <v>23913.89612593281</v>
      </c>
    </row>
    <row r="106" spans="1:5">
      <c r="A106">
        <f t="shared" si="5"/>
        <v>93</v>
      </c>
      <c r="B106" s="1">
        <f t="shared" si="6"/>
        <v>950.06830312687111</v>
      </c>
      <c r="C106" s="1">
        <f t="shared" si="7"/>
        <v>770.71408218237502</v>
      </c>
      <c r="D106" s="1">
        <f t="shared" si="8"/>
        <v>179.35422094449606</v>
      </c>
      <c r="E106" s="1">
        <f t="shared" si="9"/>
        <v>23143.182043750436</v>
      </c>
    </row>
    <row r="107" spans="1:5">
      <c r="A107">
        <f t="shared" si="5"/>
        <v>94</v>
      </c>
      <c r="B107" s="1">
        <f t="shared" si="6"/>
        <v>950.06830312687111</v>
      </c>
      <c r="C107" s="1">
        <f t="shared" si="7"/>
        <v>776.49443779874287</v>
      </c>
      <c r="D107" s="1">
        <f t="shared" si="8"/>
        <v>173.57386532812825</v>
      </c>
      <c r="E107" s="1">
        <f t="shared" si="9"/>
        <v>22366.687605951694</v>
      </c>
    </row>
    <row r="108" spans="1:5">
      <c r="A108">
        <f t="shared" si="5"/>
        <v>95</v>
      </c>
      <c r="B108" s="1">
        <f t="shared" si="6"/>
        <v>950.06830312687111</v>
      </c>
      <c r="C108" s="1">
        <f t="shared" si="7"/>
        <v>782.3181460822334</v>
      </c>
      <c r="D108" s="1">
        <f t="shared" si="8"/>
        <v>167.75015704463769</v>
      </c>
      <c r="E108" s="1">
        <f t="shared" si="9"/>
        <v>21584.36945986946</v>
      </c>
    </row>
    <row r="109" spans="1:5">
      <c r="A109">
        <f t="shared" si="5"/>
        <v>96</v>
      </c>
      <c r="B109" s="1">
        <f t="shared" si="6"/>
        <v>950.06830312687111</v>
      </c>
      <c r="C109" s="1">
        <f t="shared" si="7"/>
        <v>788.18553217785018</v>
      </c>
      <c r="D109" s="1">
        <f t="shared" si="8"/>
        <v>161.88277094902094</v>
      </c>
      <c r="E109" s="1">
        <f t="shared" si="9"/>
        <v>20796.183927691611</v>
      </c>
    </row>
    <row r="110" spans="1:5">
      <c r="A110">
        <f t="shared" si="5"/>
        <v>97</v>
      </c>
      <c r="B110" s="1">
        <f t="shared" si="6"/>
        <v>950.06830312687111</v>
      </c>
      <c r="C110" s="1">
        <f t="shared" si="7"/>
        <v>794.09692366918398</v>
      </c>
      <c r="D110" s="1">
        <f t="shared" si="8"/>
        <v>155.97137945768708</v>
      </c>
      <c r="E110" s="1">
        <f t="shared" si="9"/>
        <v>20002.087004022425</v>
      </c>
    </row>
    <row r="111" spans="1:5">
      <c r="A111">
        <f t="shared" si="5"/>
        <v>98</v>
      </c>
      <c r="B111" s="1">
        <f t="shared" si="6"/>
        <v>950.06830312687111</v>
      </c>
      <c r="C111" s="1">
        <f t="shared" si="7"/>
        <v>800.05265059670296</v>
      </c>
      <c r="D111" s="1">
        <f t="shared" si="8"/>
        <v>150.01565253016818</v>
      </c>
      <c r="E111" s="1">
        <f t="shared" si="9"/>
        <v>19202.034353425723</v>
      </c>
    </row>
    <row r="112" spans="1:5">
      <c r="A112">
        <f t="shared" si="5"/>
        <v>99</v>
      </c>
      <c r="B112" s="1">
        <f t="shared" si="6"/>
        <v>950.06830312687111</v>
      </c>
      <c r="C112" s="1">
        <f t="shared" si="7"/>
        <v>806.05304547617823</v>
      </c>
      <c r="D112" s="1">
        <f t="shared" si="8"/>
        <v>144.01525765069292</v>
      </c>
      <c r="E112" s="1">
        <f t="shared" si="9"/>
        <v>18395.981307949543</v>
      </c>
    </row>
    <row r="113" spans="1:5">
      <c r="A113">
        <f t="shared" si="5"/>
        <v>100</v>
      </c>
      <c r="B113" s="1">
        <f t="shared" si="6"/>
        <v>950.06830312687111</v>
      </c>
      <c r="C113" s="1">
        <f t="shared" si="7"/>
        <v>812.09844331724958</v>
      </c>
      <c r="D113" s="1">
        <f t="shared" si="8"/>
        <v>137.96985980962157</v>
      </c>
      <c r="E113" s="1">
        <f t="shared" si="9"/>
        <v>17583.882864632295</v>
      </c>
    </row>
    <row r="114" spans="1:5">
      <c r="A114">
        <f t="shared" si="5"/>
        <v>101</v>
      </c>
      <c r="B114" s="1">
        <f t="shared" si="6"/>
        <v>950.06830312687111</v>
      </c>
      <c r="C114" s="1">
        <f t="shared" si="7"/>
        <v>818.18918164212891</v>
      </c>
      <c r="D114" s="1">
        <f t="shared" si="8"/>
        <v>131.8791214847422</v>
      </c>
      <c r="E114" s="1">
        <f t="shared" si="9"/>
        <v>16765.693682990164</v>
      </c>
    </row>
    <row r="115" spans="1:5">
      <c r="A115">
        <f t="shared" si="5"/>
        <v>102</v>
      </c>
      <c r="B115" s="1">
        <f t="shared" si="6"/>
        <v>950.06830312687111</v>
      </c>
      <c r="C115" s="1">
        <f t="shared" si="7"/>
        <v>824.32560050444488</v>
      </c>
      <c r="D115" s="1">
        <f t="shared" si="8"/>
        <v>125.74270262242622</v>
      </c>
      <c r="E115" s="1">
        <f t="shared" si="9"/>
        <v>15941.36808248572</v>
      </c>
    </row>
    <row r="116" spans="1:5">
      <c r="A116">
        <f t="shared" si="5"/>
        <v>103</v>
      </c>
      <c r="B116" s="1">
        <f t="shared" si="6"/>
        <v>950.06830312687111</v>
      </c>
      <c r="C116" s="1">
        <f t="shared" si="7"/>
        <v>830.50804250822819</v>
      </c>
      <c r="D116" s="1">
        <f t="shared" si="8"/>
        <v>119.5602606186429</v>
      </c>
      <c r="E116" s="1">
        <f t="shared" si="9"/>
        <v>15110.860039977491</v>
      </c>
    </row>
    <row r="117" spans="1:5">
      <c r="A117">
        <f t="shared" si="5"/>
        <v>104</v>
      </c>
      <c r="B117" s="1">
        <f t="shared" si="6"/>
        <v>950.06830312687111</v>
      </c>
      <c r="C117" s="1">
        <f t="shared" si="7"/>
        <v>836.73685282703991</v>
      </c>
      <c r="D117" s="1">
        <f t="shared" si="8"/>
        <v>113.33145029983118</v>
      </c>
      <c r="E117" s="1">
        <f t="shared" si="9"/>
        <v>14274.123187150451</v>
      </c>
    </row>
    <row r="118" spans="1:5">
      <c r="A118">
        <f t="shared" si="5"/>
        <v>105</v>
      </c>
      <c r="B118" s="1">
        <f t="shared" si="6"/>
        <v>950.06830312687111</v>
      </c>
      <c r="C118" s="1">
        <f t="shared" si="7"/>
        <v>843.01237922324276</v>
      </c>
      <c r="D118" s="1">
        <f t="shared" si="8"/>
        <v>107.05592390362838</v>
      </c>
      <c r="E118" s="1">
        <f t="shared" si="9"/>
        <v>13431.110807927209</v>
      </c>
    </row>
    <row r="119" spans="1:5">
      <c r="A119">
        <f t="shared" si="5"/>
        <v>106</v>
      </c>
      <c r="B119" s="1">
        <f t="shared" si="6"/>
        <v>950.06830312687111</v>
      </c>
      <c r="C119" s="1">
        <f t="shared" si="7"/>
        <v>849.33497206741708</v>
      </c>
      <c r="D119" s="1">
        <f t="shared" si="8"/>
        <v>100.73333105945406</v>
      </c>
      <c r="E119" s="1">
        <f t="shared" si="9"/>
        <v>12581.775835859791</v>
      </c>
    </row>
    <row r="120" spans="1:5">
      <c r="A120">
        <f t="shared" si="5"/>
        <v>107</v>
      </c>
      <c r="B120" s="1">
        <f t="shared" si="6"/>
        <v>950.06830312687111</v>
      </c>
      <c r="C120" s="1">
        <f t="shared" si="7"/>
        <v>855.70498435792274</v>
      </c>
      <c r="D120" s="1">
        <f t="shared" si="8"/>
        <v>94.363318768948432</v>
      </c>
      <c r="E120" s="1">
        <f t="shared" si="9"/>
        <v>11726.070851501869</v>
      </c>
    </row>
    <row r="121" spans="1:5">
      <c r="A121">
        <f t="shared" si="5"/>
        <v>108</v>
      </c>
      <c r="B121" s="1">
        <f t="shared" si="6"/>
        <v>950.06830312687111</v>
      </c>
      <c r="C121" s="1">
        <f t="shared" si="7"/>
        <v>862.12277174060705</v>
      </c>
      <c r="D121" s="1">
        <f t="shared" si="8"/>
        <v>87.945531386264008</v>
      </c>
      <c r="E121" s="1">
        <f t="shared" si="9"/>
        <v>10863.948079761261</v>
      </c>
    </row>
    <row r="122" spans="1:5">
      <c r="A122">
        <f t="shared" si="5"/>
        <v>109</v>
      </c>
      <c r="B122" s="1">
        <f t="shared" si="6"/>
        <v>950.06830312687111</v>
      </c>
      <c r="C122" s="1">
        <f t="shared" si="7"/>
        <v>868.58869252866168</v>
      </c>
      <c r="D122" s="1">
        <f t="shared" si="8"/>
        <v>81.479610598209462</v>
      </c>
      <c r="E122" s="1">
        <f t="shared" si="9"/>
        <v>9995.3593872326001</v>
      </c>
    </row>
    <row r="123" spans="1:5">
      <c r="A123">
        <f t="shared" si="5"/>
        <v>110</v>
      </c>
      <c r="B123" s="1">
        <f t="shared" si="6"/>
        <v>950.06830312687111</v>
      </c>
      <c r="C123" s="1">
        <f t="shared" si="7"/>
        <v>875.10310772262665</v>
      </c>
      <c r="D123" s="1">
        <f t="shared" si="8"/>
        <v>74.965195404244497</v>
      </c>
      <c r="E123" s="1">
        <f t="shared" si="9"/>
        <v>9120.256279509973</v>
      </c>
    </row>
    <row r="124" spans="1:5">
      <c r="A124">
        <f t="shared" si="5"/>
        <v>111</v>
      </c>
      <c r="B124" s="1">
        <f t="shared" si="6"/>
        <v>950.06830312687111</v>
      </c>
      <c r="C124" s="1">
        <f t="shared" si="7"/>
        <v>881.66638103054629</v>
      </c>
      <c r="D124" s="1">
        <f t="shared" si="8"/>
        <v>68.401922096324796</v>
      </c>
      <c r="E124" s="1">
        <f t="shared" si="9"/>
        <v>8238.5898984794258</v>
      </c>
    </row>
    <row r="125" spans="1:5">
      <c r="A125">
        <f t="shared" si="5"/>
        <v>112</v>
      </c>
      <c r="B125" s="1">
        <f t="shared" si="6"/>
        <v>950.06830312687111</v>
      </c>
      <c r="C125" s="1">
        <f t="shared" si="7"/>
        <v>888.27887888827547</v>
      </c>
      <c r="D125" s="1">
        <f t="shared" si="8"/>
        <v>61.789424238595693</v>
      </c>
      <c r="E125" s="1">
        <f t="shared" si="9"/>
        <v>7350.3110195911504</v>
      </c>
    </row>
    <row r="126" spans="1:5">
      <c r="A126">
        <f t="shared" si="5"/>
        <v>113</v>
      </c>
      <c r="B126" s="1">
        <f t="shared" si="6"/>
        <v>950.06830312687111</v>
      </c>
      <c r="C126" s="1">
        <f t="shared" si="7"/>
        <v>894.9409704799375</v>
      </c>
      <c r="D126" s="1">
        <f t="shared" si="8"/>
        <v>55.127332646933624</v>
      </c>
      <c r="E126" s="1">
        <f t="shared" si="9"/>
        <v>6455.3700491112131</v>
      </c>
    </row>
    <row r="127" spans="1:5">
      <c r="A127">
        <f t="shared" si="5"/>
        <v>114</v>
      </c>
      <c r="B127" s="1">
        <f t="shared" si="6"/>
        <v>950.06830312687111</v>
      </c>
      <c r="C127" s="1">
        <f t="shared" si="7"/>
        <v>901.65302775853706</v>
      </c>
      <c r="D127" s="1">
        <f t="shared" si="8"/>
        <v>48.415275368334093</v>
      </c>
      <c r="E127" s="1">
        <f t="shared" si="9"/>
        <v>5553.7170213526761</v>
      </c>
    </row>
    <row r="128" spans="1:5">
      <c r="A128">
        <f t="shared" si="5"/>
        <v>115</v>
      </c>
      <c r="B128" s="1">
        <f t="shared" si="6"/>
        <v>950.06830312687111</v>
      </c>
      <c r="C128" s="1">
        <f t="shared" si="7"/>
        <v>908.41542546672599</v>
      </c>
      <c r="D128" s="1">
        <f t="shared" si="8"/>
        <v>41.652877660145066</v>
      </c>
      <c r="E128" s="1">
        <f t="shared" si="9"/>
        <v>4645.3015958859505</v>
      </c>
    </row>
    <row r="129" spans="1:5">
      <c r="A129">
        <f t="shared" si="5"/>
        <v>116</v>
      </c>
      <c r="B129" s="1">
        <f t="shared" si="6"/>
        <v>950.06830312687111</v>
      </c>
      <c r="C129" s="1">
        <f t="shared" si="7"/>
        <v>915.22854115772645</v>
      </c>
      <c r="D129" s="1">
        <f t="shared" si="8"/>
        <v>34.839761969144625</v>
      </c>
      <c r="E129" s="1">
        <f t="shared" si="9"/>
        <v>3730.0730547282242</v>
      </c>
    </row>
    <row r="130" spans="1:5">
      <c r="A130">
        <f t="shared" si="5"/>
        <v>117</v>
      </c>
      <c r="B130" s="1">
        <f t="shared" si="6"/>
        <v>950.06830312687111</v>
      </c>
      <c r="C130" s="1">
        <f t="shared" si="7"/>
        <v>922.09275521640939</v>
      </c>
      <c r="D130" s="1">
        <f t="shared" si="8"/>
        <v>27.975547910461682</v>
      </c>
      <c r="E130" s="1">
        <f t="shared" si="9"/>
        <v>2807.9802995118148</v>
      </c>
    </row>
    <row r="131" spans="1:5">
      <c r="A131">
        <f t="shared" si="5"/>
        <v>118</v>
      </c>
      <c r="B131" s="1">
        <f t="shared" si="6"/>
        <v>950.06830312687111</v>
      </c>
      <c r="C131" s="1">
        <f t="shared" si="7"/>
        <v>929.00845088053245</v>
      </c>
      <c r="D131" s="1">
        <f t="shared" si="8"/>
        <v>21.059852246338611</v>
      </c>
      <c r="E131" s="1">
        <f t="shared" si="9"/>
        <v>1878.9718486312822</v>
      </c>
    </row>
    <row r="132" spans="1:5">
      <c r="A132">
        <f t="shared" si="5"/>
        <v>119</v>
      </c>
      <c r="B132" s="1">
        <f t="shared" si="6"/>
        <v>950.06830312687111</v>
      </c>
      <c r="C132" s="1">
        <f t="shared" si="7"/>
        <v>935.97601426213646</v>
      </c>
      <c r="D132" s="1">
        <f t="shared" si="8"/>
        <v>14.092288864734616</v>
      </c>
      <c r="E132" s="1">
        <f t="shared" si="9"/>
        <v>942.99583436914577</v>
      </c>
    </row>
    <row r="133" spans="1:5">
      <c r="A133">
        <f t="shared" si="5"/>
        <v>120</v>
      </c>
      <c r="B133" s="1">
        <f t="shared" si="6"/>
        <v>950.06830312687111</v>
      </c>
      <c r="C133" s="1">
        <f t="shared" si="7"/>
        <v>942.99583436910257</v>
      </c>
      <c r="D133" s="1">
        <f t="shared" si="8"/>
        <v>7.0724687577685934</v>
      </c>
      <c r="E133" s="1">
        <f t="shared" si="9"/>
        <v>4.3200998334214091E-11</v>
      </c>
    </row>
    <row r="134" spans="1:5">
      <c r="A134" t="str">
        <f t="shared" si="5"/>
        <v/>
      </c>
      <c r="B134" s="1" t="str">
        <f t="shared" si="6"/>
        <v/>
      </c>
      <c r="C134" s="1" t="str">
        <f t="shared" si="7"/>
        <v/>
      </c>
      <c r="D134" s="1" t="str">
        <f t="shared" si="8"/>
        <v/>
      </c>
      <c r="E134" s="1" t="str">
        <f t="shared" si="9"/>
        <v/>
      </c>
    </row>
    <row r="135" spans="1:5">
      <c r="A135" t="str">
        <f t="shared" si="5"/>
        <v/>
      </c>
      <c r="B135" s="1" t="str">
        <f t="shared" si="6"/>
        <v/>
      </c>
      <c r="C135" s="1" t="str">
        <f t="shared" si="7"/>
        <v/>
      </c>
      <c r="D135" s="1" t="str">
        <f t="shared" si="8"/>
        <v/>
      </c>
      <c r="E135" s="1" t="str">
        <f t="shared" si="9"/>
        <v/>
      </c>
    </row>
    <row r="136" spans="1:5">
      <c r="A136" t="str">
        <f t="shared" si="5"/>
        <v/>
      </c>
      <c r="B136" s="1" t="str">
        <f t="shared" si="6"/>
        <v/>
      </c>
      <c r="C136" s="1" t="str">
        <f t="shared" si="7"/>
        <v/>
      </c>
      <c r="D136" s="1" t="str">
        <f t="shared" si="8"/>
        <v/>
      </c>
      <c r="E136" s="1" t="str">
        <f t="shared" si="9"/>
        <v/>
      </c>
    </row>
    <row r="137" spans="1:5">
      <c r="A137" t="str">
        <f t="shared" si="5"/>
        <v/>
      </c>
      <c r="B137" s="1" t="str">
        <f t="shared" si="6"/>
        <v/>
      </c>
      <c r="C137" s="1" t="str">
        <f t="shared" si="7"/>
        <v/>
      </c>
      <c r="D137" s="1" t="str">
        <f t="shared" si="8"/>
        <v/>
      </c>
      <c r="E137" s="1" t="str">
        <f t="shared" si="9"/>
        <v/>
      </c>
    </row>
    <row r="138" spans="1:5">
      <c r="A138" t="str">
        <f t="shared" si="5"/>
        <v/>
      </c>
      <c r="B138" s="1" t="str">
        <f t="shared" si="6"/>
        <v/>
      </c>
      <c r="C138" s="1" t="str">
        <f t="shared" si="7"/>
        <v/>
      </c>
      <c r="D138" s="1" t="str">
        <f t="shared" si="8"/>
        <v/>
      </c>
      <c r="E138" s="1" t="str">
        <f t="shared" si="9"/>
        <v/>
      </c>
    </row>
    <row r="139" spans="1:5">
      <c r="A139" t="str">
        <f t="shared" si="5"/>
        <v/>
      </c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1" t="str">
        <f t="shared" si="9"/>
        <v/>
      </c>
    </row>
    <row r="140" spans="1:5">
      <c r="A140" t="str">
        <f t="shared" si="5"/>
        <v/>
      </c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1" t="str">
        <f t="shared" si="9"/>
        <v/>
      </c>
    </row>
    <row r="141" spans="1:5">
      <c r="A141" t="str">
        <f t="shared" si="5"/>
        <v/>
      </c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1" t="str">
        <f t="shared" si="9"/>
        <v/>
      </c>
    </row>
    <row r="142" spans="1:5">
      <c r="A142" t="str">
        <f t="shared" si="5"/>
        <v/>
      </c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1" t="str">
        <f t="shared" si="9"/>
        <v/>
      </c>
    </row>
    <row r="143" spans="1:5">
      <c r="A143" t="str">
        <f t="shared" si="5"/>
        <v/>
      </c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1" t="str">
        <f t="shared" si="9"/>
        <v/>
      </c>
    </row>
    <row r="144" spans="1:5">
      <c r="A144" t="str">
        <f t="shared" ref="A144:A178" si="10">IF(($B$7*$B$8&gt;A143),IF(($B$7*$B$8)=A143,"",A143+1),"")</f>
        <v/>
      </c>
      <c r="B144" s="1" t="str">
        <f t="shared" ref="B144:B207" si="11">IF(A144="","",$B$14)</f>
        <v/>
      </c>
      <c r="C144" s="1" t="str">
        <f t="shared" ref="C144:C178" si="12">IF(A144="","",B144-D144)</f>
        <v/>
      </c>
      <c r="D144" s="1" t="str">
        <f t="shared" ref="D144:D178" si="13">IF(A144="","",(E143*($B$6/$B$8)))</f>
        <v/>
      </c>
      <c r="E144" s="1" t="str">
        <f t="shared" ref="E144:E178" si="14">IF(A144="","",E143-C144)</f>
        <v/>
      </c>
    </row>
    <row r="145" spans="1:5">
      <c r="A145" t="str">
        <f t="shared" si="10"/>
        <v/>
      </c>
      <c r="B145" s="1" t="str">
        <f t="shared" si="11"/>
        <v/>
      </c>
      <c r="C145" s="1" t="str">
        <f t="shared" si="12"/>
        <v/>
      </c>
      <c r="D145" s="1" t="str">
        <f t="shared" si="13"/>
        <v/>
      </c>
      <c r="E145" s="1" t="str">
        <f t="shared" si="14"/>
        <v/>
      </c>
    </row>
    <row r="146" spans="1:5">
      <c r="A146" t="str">
        <f t="shared" si="10"/>
        <v/>
      </c>
      <c r="B146" s="1" t="str">
        <f t="shared" si="11"/>
        <v/>
      </c>
      <c r="C146" s="1" t="str">
        <f t="shared" si="12"/>
        <v/>
      </c>
      <c r="D146" s="1" t="str">
        <f t="shared" si="13"/>
        <v/>
      </c>
      <c r="E146" s="1" t="str">
        <f t="shared" si="14"/>
        <v/>
      </c>
    </row>
    <row r="147" spans="1:5">
      <c r="A147" t="str">
        <f t="shared" si="10"/>
        <v/>
      </c>
      <c r="B147" s="1" t="str">
        <f t="shared" si="11"/>
        <v/>
      </c>
      <c r="C147" s="1" t="str">
        <f t="shared" si="12"/>
        <v/>
      </c>
      <c r="D147" s="1" t="str">
        <f t="shared" si="13"/>
        <v/>
      </c>
      <c r="E147" s="1" t="str">
        <f t="shared" si="14"/>
        <v/>
      </c>
    </row>
    <row r="148" spans="1:5">
      <c r="A148" t="str">
        <f t="shared" si="10"/>
        <v/>
      </c>
      <c r="B148" s="1" t="str">
        <f t="shared" si="11"/>
        <v/>
      </c>
      <c r="C148" s="1" t="str">
        <f t="shared" si="12"/>
        <v/>
      </c>
      <c r="D148" s="1" t="str">
        <f t="shared" si="13"/>
        <v/>
      </c>
      <c r="E148" s="1" t="str">
        <f t="shared" si="14"/>
        <v/>
      </c>
    </row>
    <row r="149" spans="1:5">
      <c r="A149" t="str">
        <f t="shared" si="10"/>
        <v/>
      </c>
      <c r="B149" s="1" t="str">
        <f t="shared" si="11"/>
        <v/>
      </c>
      <c r="C149" s="1" t="str">
        <f t="shared" si="12"/>
        <v/>
      </c>
      <c r="D149" s="1" t="str">
        <f t="shared" si="13"/>
        <v/>
      </c>
      <c r="E149" s="1" t="str">
        <f t="shared" si="14"/>
        <v/>
      </c>
    </row>
    <row r="150" spans="1:5">
      <c r="A150" t="str">
        <f t="shared" si="10"/>
        <v/>
      </c>
      <c r="B150" s="1" t="str">
        <f t="shared" si="11"/>
        <v/>
      </c>
      <c r="C150" s="1" t="str">
        <f t="shared" si="12"/>
        <v/>
      </c>
      <c r="D150" s="1" t="str">
        <f t="shared" si="13"/>
        <v/>
      </c>
      <c r="E150" s="1" t="str">
        <f t="shared" si="14"/>
        <v/>
      </c>
    </row>
    <row r="151" spans="1:5">
      <c r="A151" t="str">
        <f t="shared" si="10"/>
        <v/>
      </c>
      <c r="B151" s="1" t="str">
        <f t="shared" si="11"/>
        <v/>
      </c>
      <c r="C151" s="1" t="str">
        <f t="shared" si="12"/>
        <v/>
      </c>
      <c r="D151" s="1" t="str">
        <f t="shared" si="13"/>
        <v/>
      </c>
      <c r="E151" s="1" t="str">
        <f t="shared" si="14"/>
        <v/>
      </c>
    </row>
    <row r="152" spans="1:5">
      <c r="A152" t="str">
        <f t="shared" si="10"/>
        <v/>
      </c>
      <c r="B152" s="1" t="str">
        <f t="shared" si="11"/>
        <v/>
      </c>
      <c r="C152" s="1" t="str">
        <f t="shared" si="12"/>
        <v/>
      </c>
      <c r="D152" s="1" t="str">
        <f t="shared" si="13"/>
        <v/>
      </c>
      <c r="E152" s="1" t="str">
        <f t="shared" si="14"/>
        <v/>
      </c>
    </row>
    <row r="153" spans="1:5">
      <c r="A153" t="str">
        <f t="shared" si="10"/>
        <v/>
      </c>
      <c r="B153" s="1" t="str">
        <f t="shared" si="11"/>
        <v/>
      </c>
      <c r="C153" s="1" t="str">
        <f t="shared" si="12"/>
        <v/>
      </c>
      <c r="D153" s="1" t="str">
        <f t="shared" si="13"/>
        <v/>
      </c>
      <c r="E153" s="1" t="str">
        <f t="shared" si="14"/>
        <v/>
      </c>
    </row>
    <row r="154" spans="1:5">
      <c r="A154" t="str">
        <f t="shared" si="10"/>
        <v/>
      </c>
      <c r="B154" s="1" t="str">
        <f t="shared" si="11"/>
        <v/>
      </c>
      <c r="C154" s="1" t="str">
        <f t="shared" si="12"/>
        <v/>
      </c>
      <c r="D154" s="1" t="str">
        <f t="shared" si="13"/>
        <v/>
      </c>
      <c r="E154" s="1" t="str">
        <f t="shared" si="14"/>
        <v/>
      </c>
    </row>
    <row r="155" spans="1:5">
      <c r="A155" t="str">
        <f t="shared" si="10"/>
        <v/>
      </c>
      <c r="B155" s="1" t="str">
        <f t="shared" si="11"/>
        <v/>
      </c>
      <c r="C155" s="1" t="str">
        <f t="shared" si="12"/>
        <v/>
      </c>
      <c r="D155" s="1" t="str">
        <f t="shared" si="13"/>
        <v/>
      </c>
      <c r="E155" s="1" t="str">
        <f t="shared" si="14"/>
        <v/>
      </c>
    </row>
    <row r="156" spans="1:5">
      <c r="A156" t="str">
        <f t="shared" si="10"/>
        <v/>
      </c>
      <c r="B156" s="1" t="str">
        <f t="shared" si="11"/>
        <v/>
      </c>
      <c r="C156" s="1" t="str">
        <f t="shared" si="12"/>
        <v/>
      </c>
      <c r="D156" s="1" t="str">
        <f t="shared" si="13"/>
        <v/>
      </c>
      <c r="E156" s="1" t="str">
        <f t="shared" si="14"/>
        <v/>
      </c>
    </row>
    <row r="157" spans="1:5">
      <c r="A157" t="str">
        <f t="shared" si="10"/>
        <v/>
      </c>
      <c r="B157" s="1" t="str">
        <f t="shared" si="11"/>
        <v/>
      </c>
      <c r="C157" s="1" t="str">
        <f t="shared" si="12"/>
        <v/>
      </c>
      <c r="D157" s="1" t="str">
        <f t="shared" si="13"/>
        <v/>
      </c>
      <c r="E157" s="1" t="str">
        <f t="shared" si="14"/>
        <v/>
      </c>
    </row>
    <row r="158" spans="1:5">
      <c r="A158" t="str">
        <f t="shared" si="10"/>
        <v/>
      </c>
      <c r="B158" s="1" t="str">
        <f t="shared" si="11"/>
        <v/>
      </c>
      <c r="C158" s="1" t="str">
        <f t="shared" si="12"/>
        <v/>
      </c>
      <c r="D158" s="1" t="str">
        <f t="shared" si="13"/>
        <v/>
      </c>
      <c r="E158" s="1" t="str">
        <f t="shared" si="14"/>
        <v/>
      </c>
    </row>
    <row r="159" spans="1:5">
      <c r="A159" t="str">
        <f t="shared" si="10"/>
        <v/>
      </c>
      <c r="B159" s="1" t="str">
        <f t="shared" si="11"/>
        <v/>
      </c>
      <c r="C159" s="1" t="str">
        <f t="shared" si="12"/>
        <v/>
      </c>
      <c r="D159" s="1" t="str">
        <f t="shared" si="13"/>
        <v/>
      </c>
      <c r="E159" s="1" t="str">
        <f t="shared" si="14"/>
        <v/>
      </c>
    </row>
    <row r="160" spans="1:5">
      <c r="A160" t="str">
        <f t="shared" si="10"/>
        <v/>
      </c>
      <c r="B160" s="1" t="str">
        <f t="shared" si="11"/>
        <v/>
      </c>
      <c r="C160" s="1" t="str">
        <f t="shared" si="12"/>
        <v/>
      </c>
      <c r="D160" s="1" t="str">
        <f t="shared" si="13"/>
        <v/>
      </c>
      <c r="E160" s="1" t="str">
        <f t="shared" si="14"/>
        <v/>
      </c>
    </row>
    <row r="161" spans="1:5">
      <c r="A161" t="str">
        <f t="shared" si="10"/>
        <v/>
      </c>
      <c r="B161" s="1" t="str">
        <f t="shared" si="11"/>
        <v/>
      </c>
      <c r="C161" s="1" t="str">
        <f t="shared" si="12"/>
        <v/>
      </c>
      <c r="D161" s="1" t="str">
        <f t="shared" si="13"/>
        <v/>
      </c>
      <c r="E161" s="1" t="str">
        <f t="shared" si="14"/>
        <v/>
      </c>
    </row>
    <row r="162" spans="1:5">
      <c r="A162" t="str">
        <f t="shared" si="10"/>
        <v/>
      </c>
      <c r="B162" s="1" t="str">
        <f t="shared" si="11"/>
        <v/>
      </c>
      <c r="C162" s="1" t="str">
        <f t="shared" si="12"/>
        <v/>
      </c>
      <c r="D162" s="1" t="str">
        <f t="shared" si="13"/>
        <v/>
      </c>
      <c r="E162" s="1" t="str">
        <f t="shared" si="14"/>
        <v/>
      </c>
    </row>
    <row r="163" spans="1:5">
      <c r="A163" t="str">
        <f t="shared" si="10"/>
        <v/>
      </c>
      <c r="B163" s="1" t="str">
        <f t="shared" si="11"/>
        <v/>
      </c>
      <c r="C163" s="1" t="str">
        <f t="shared" si="12"/>
        <v/>
      </c>
      <c r="D163" s="1" t="str">
        <f t="shared" si="13"/>
        <v/>
      </c>
      <c r="E163" s="1" t="str">
        <f t="shared" si="14"/>
        <v/>
      </c>
    </row>
    <row r="164" spans="1:5">
      <c r="A164" t="str">
        <f t="shared" si="10"/>
        <v/>
      </c>
      <c r="B164" s="1" t="str">
        <f t="shared" si="11"/>
        <v/>
      </c>
      <c r="C164" s="1" t="str">
        <f t="shared" si="12"/>
        <v/>
      </c>
      <c r="D164" s="1" t="str">
        <f t="shared" si="13"/>
        <v/>
      </c>
      <c r="E164" s="1" t="str">
        <f t="shared" si="14"/>
        <v/>
      </c>
    </row>
    <row r="165" spans="1:5">
      <c r="A165" t="str">
        <f t="shared" si="10"/>
        <v/>
      </c>
      <c r="B165" s="1" t="str">
        <f t="shared" si="11"/>
        <v/>
      </c>
      <c r="C165" s="1" t="str">
        <f t="shared" si="12"/>
        <v/>
      </c>
      <c r="D165" s="1" t="str">
        <f t="shared" si="13"/>
        <v/>
      </c>
      <c r="E165" s="1" t="str">
        <f t="shared" si="14"/>
        <v/>
      </c>
    </row>
    <row r="166" spans="1:5">
      <c r="A166" t="str">
        <f t="shared" si="10"/>
        <v/>
      </c>
      <c r="B166" s="1" t="str">
        <f t="shared" si="11"/>
        <v/>
      </c>
      <c r="C166" s="1" t="str">
        <f t="shared" si="12"/>
        <v/>
      </c>
      <c r="D166" s="1" t="str">
        <f t="shared" si="13"/>
        <v/>
      </c>
      <c r="E166" s="1" t="str">
        <f t="shared" si="14"/>
        <v/>
      </c>
    </row>
    <row r="167" spans="1:5">
      <c r="A167" t="str">
        <f t="shared" si="10"/>
        <v/>
      </c>
      <c r="B167" s="1" t="str">
        <f t="shared" si="11"/>
        <v/>
      </c>
      <c r="C167" s="1" t="str">
        <f t="shared" si="12"/>
        <v/>
      </c>
      <c r="D167" s="1" t="str">
        <f t="shared" si="13"/>
        <v/>
      </c>
      <c r="E167" s="1" t="str">
        <f t="shared" si="14"/>
        <v/>
      </c>
    </row>
    <row r="168" spans="1:5">
      <c r="A168" t="str">
        <f t="shared" si="10"/>
        <v/>
      </c>
      <c r="B168" s="1" t="str">
        <f t="shared" si="11"/>
        <v/>
      </c>
      <c r="C168" s="1" t="str">
        <f t="shared" si="12"/>
        <v/>
      </c>
      <c r="D168" s="1" t="str">
        <f t="shared" si="13"/>
        <v/>
      </c>
      <c r="E168" s="1" t="str">
        <f t="shared" si="14"/>
        <v/>
      </c>
    </row>
    <row r="169" spans="1:5">
      <c r="A169" t="str">
        <f t="shared" si="10"/>
        <v/>
      </c>
      <c r="B169" s="1" t="str">
        <f t="shared" si="11"/>
        <v/>
      </c>
      <c r="C169" s="1" t="str">
        <f t="shared" si="12"/>
        <v/>
      </c>
      <c r="D169" s="1" t="str">
        <f t="shared" si="13"/>
        <v/>
      </c>
      <c r="E169" s="1" t="str">
        <f t="shared" si="14"/>
        <v/>
      </c>
    </row>
    <row r="170" spans="1:5">
      <c r="A170" t="str">
        <f t="shared" si="10"/>
        <v/>
      </c>
      <c r="B170" s="1" t="str">
        <f t="shared" si="11"/>
        <v/>
      </c>
      <c r="C170" s="1" t="str">
        <f t="shared" si="12"/>
        <v/>
      </c>
      <c r="D170" s="1" t="str">
        <f t="shared" si="13"/>
        <v/>
      </c>
      <c r="E170" s="1" t="str">
        <f t="shared" si="14"/>
        <v/>
      </c>
    </row>
    <row r="171" spans="1:5">
      <c r="A171" t="str">
        <f t="shared" si="10"/>
        <v/>
      </c>
      <c r="B171" s="1" t="str">
        <f t="shared" si="11"/>
        <v/>
      </c>
      <c r="C171" s="1" t="str">
        <f t="shared" si="12"/>
        <v/>
      </c>
      <c r="D171" s="1" t="str">
        <f t="shared" si="13"/>
        <v/>
      </c>
      <c r="E171" s="1" t="str">
        <f t="shared" si="14"/>
        <v/>
      </c>
    </row>
    <row r="172" spans="1:5">
      <c r="A172" t="str">
        <f t="shared" si="10"/>
        <v/>
      </c>
      <c r="B172" s="1" t="str">
        <f t="shared" si="11"/>
        <v/>
      </c>
      <c r="C172" s="1" t="str">
        <f t="shared" si="12"/>
        <v/>
      </c>
      <c r="D172" s="1" t="str">
        <f t="shared" si="13"/>
        <v/>
      </c>
      <c r="E172" s="1" t="str">
        <f t="shared" si="14"/>
        <v/>
      </c>
    </row>
    <row r="173" spans="1:5">
      <c r="A173" t="str">
        <f t="shared" si="10"/>
        <v/>
      </c>
      <c r="B173" s="1" t="str">
        <f t="shared" si="11"/>
        <v/>
      </c>
      <c r="C173" s="1" t="str">
        <f t="shared" si="12"/>
        <v/>
      </c>
      <c r="D173" s="1" t="str">
        <f t="shared" si="13"/>
        <v/>
      </c>
      <c r="E173" s="1" t="str">
        <f t="shared" si="14"/>
        <v/>
      </c>
    </row>
    <row r="174" spans="1:5">
      <c r="A174" t="str">
        <f t="shared" si="10"/>
        <v/>
      </c>
      <c r="B174" s="1" t="str">
        <f t="shared" si="11"/>
        <v/>
      </c>
      <c r="C174" s="1" t="str">
        <f t="shared" si="12"/>
        <v/>
      </c>
      <c r="D174" s="1" t="str">
        <f t="shared" si="13"/>
        <v/>
      </c>
      <c r="E174" s="1" t="str">
        <f t="shared" si="14"/>
        <v/>
      </c>
    </row>
    <row r="175" spans="1:5">
      <c r="A175" t="str">
        <f t="shared" si="10"/>
        <v/>
      </c>
      <c r="B175" s="1" t="str">
        <f t="shared" si="11"/>
        <v/>
      </c>
      <c r="C175" s="1" t="str">
        <f t="shared" si="12"/>
        <v/>
      </c>
      <c r="D175" s="1" t="str">
        <f t="shared" si="13"/>
        <v/>
      </c>
      <c r="E175" s="1" t="str">
        <f t="shared" si="14"/>
        <v/>
      </c>
    </row>
    <row r="176" spans="1:5">
      <c r="A176" t="str">
        <f t="shared" si="10"/>
        <v/>
      </c>
      <c r="B176" s="1" t="str">
        <f t="shared" si="11"/>
        <v/>
      </c>
      <c r="C176" s="1" t="str">
        <f t="shared" si="12"/>
        <v/>
      </c>
      <c r="D176" s="1" t="str">
        <f t="shared" si="13"/>
        <v/>
      </c>
      <c r="E176" s="1" t="str">
        <f t="shared" si="14"/>
        <v/>
      </c>
    </row>
    <row r="177" spans="1:5">
      <c r="A177" t="str">
        <f t="shared" si="10"/>
        <v/>
      </c>
      <c r="B177" s="1" t="str">
        <f t="shared" si="11"/>
        <v/>
      </c>
      <c r="C177" s="1" t="str">
        <f t="shared" si="12"/>
        <v/>
      </c>
      <c r="D177" s="1" t="str">
        <f t="shared" si="13"/>
        <v/>
      </c>
      <c r="E177" s="1" t="str">
        <f t="shared" si="14"/>
        <v/>
      </c>
    </row>
    <row r="178" spans="1:5">
      <c r="A178" t="str">
        <f t="shared" si="10"/>
        <v/>
      </c>
      <c r="B178" s="1" t="str">
        <f t="shared" si="11"/>
        <v/>
      </c>
      <c r="C178" s="1" t="str">
        <f t="shared" si="12"/>
        <v/>
      </c>
      <c r="D178" s="1" t="str">
        <f t="shared" si="13"/>
        <v/>
      </c>
      <c r="E178" s="1" t="str">
        <f t="shared" si="14"/>
        <v/>
      </c>
    </row>
    <row r="179" spans="1:5">
      <c r="A179" t="str">
        <f t="shared" ref="A179:A242" si="15">IF(($B$7*$B$8&gt;A178),IF(($B$7*$B$8)=A178,"",A178+1),"")</f>
        <v/>
      </c>
      <c r="B179" s="1" t="str">
        <f t="shared" si="11"/>
        <v/>
      </c>
      <c r="C179" s="1" t="str">
        <f t="shared" ref="C179:C242" si="16">IF(A179="","",B179-D179)</f>
        <v/>
      </c>
      <c r="D179" s="1" t="str">
        <f t="shared" ref="D179:D242" si="17">IF(A179="","",(E178*($B$6/$B$8)))</f>
        <v/>
      </c>
      <c r="E179" s="1" t="str">
        <f t="shared" ref="E179:E242" si="18">IF(A179="","",E178-C179)</f>
        <v/>
      </c>
    </row>
    <row r="180" spans="1:5">
      <c r="A180" t="str">
        <f t="shared" si="15"/>
        <v/>
      </c>
      <c r="B180" s="1" t="str">
        <f t="shared" si="11"/>
        <v/>
      </c>
      <c r="C180" s="1" t="str">
        <f t="shared" si="16"/>
        <v/>
      </c>
      <c r="D180" s="1" t="str">
        <f t="shared" si="17"/>
        <v/>
      </c>
      <c r="E180" s="1" t="str">
        <f t="shared" si="18"/>
        <v/>
      </c>
    </row>
    <row r="181" spans="1:5">
      <c r="A181" t="str">
        <f t="shared" si="15"/>
        <v/>
      </c>
      <c r="B181" s="1" t="str">
        <f t="shared" si="11"/>
        <v/>
      </c>
      <c r="C181" s="1" t="str">
        <f t="shared" si="16"/>
        <v/>
      </c>
      <c r="D181" s="1" t="str">
        <f t="shared" si="17"/>
        <v/>
      </c>
      <c r="E181" s="1" t="str">
        <f t="shared" si="18"/>
        <v/>
      </c>
    </row>
    <row r="182" spans="1:5">
      <c r="A182" t="str">
        <f t="shared" si="15"/>
        <v/>
      </c>
      <c r="B182" s="1" t="str">
        <f t="shared" si="11"/>
        <v/>
      </c>
      <c r="C182" s="1" t="str">
        <f t="shared" si="16"/>
        <v/>
      </c>
      <c r="D182" s="1" t="str">
        <f t="shared" si="17"/>
        <v/>
      </c>
      <c r="E182" s="1" t="str">
        <f t="shared" si="18"/>
        <v/>
      </c>
    </row>
    <row r="183" spans="1:5">
      <c r="A183" t="str">
        <f t="shared" si="15"/>
        <v/>
      </c>
      <c r="B183" s="1" t="str">
        <f t="shared" si="11"/>
        <v/>
      </c>
      <c r="C183" s="1" t="str">
        <f t="shared" si="16"/>
        <v/>
      </c>
      <c r="D183" s="1" t="str">
        <f t="shared" si="17"/>
        <v/>
      </c>
      <c r="E183" s="1" t="str">
        <f t="shared" si="18"/>
        <v/>
      </c>
    </row>
    <row r="184" spans="1:5">
      <c r="A184" t="str">
        <f t="shared" si="15"/>
        <v/>
      </c>
      <c r="B184" s="1" t="str">
        <f t="shared" si="11"/>
        <v/>
      </c>
      <c r="C184" s="1" t="str">
        <f t="shared" si="16"/>
        <v/>
      </c>
      <c r="D184" s="1" t="str">
        <f t="shared" si="17"/>
        <v/>
      </c>
      <c r="E184" s="1" t="str">
        <f t="shared" si="18"/>
        <v/>
      </c>
    </row>
    <row r="185" spans="1:5">
      <c r="A185" t="str">
        <f t="shared" si="15"/>
        <v/>
      </c>
      <c r="B185" s="1" t="str">
        <f t="shared" si="11"/>
        <v/>
      </c>
      <c r="C185" s="1" t="str">
        <f t="shared" si="16"/>
        <v/>
      </c>
      <c r="D185" s="1" t="str">
        <f t="shared" si="17"/>
        <v/>
      </c>
      <c r="E185" s="1" t="str">
        <f t="shared" si="18"/>
        <v/>
      </c>
    </row>
    <row r="186" spans="1:5">
      <c r="A186" t="str">
        <f t="shared" si="15"/>
        <v/>
      </c>
      <c r="B186" s="1" t="str">
        <f t="shared" si="11"/>
        <v/>
      </c>
      <c r="C186" s="1" t="str">
        <f t="shared" si="16"/>
        <v/>
      </c>
      <c r="D186" s="1" t="str">
        <f t="shared" si="17"/>
        <v/>
      </c>
      <c r="E186" s="1" t="str">
        <f t="shared" si="18"/>
        <v/>
      </c>
    </row>
    <row r="187" spans="1:5">
      <c r="A187" t="str">
        <f t="shared" si="15"/>
        <v/>
      </c>
      <c r="B187" s="1" t="str">
        <f t="shared" si="11"/>
        <v/>
      </c>
      <c r="C187" s="1" t="str">
        <f t="shared" si="16"/>
        <v/>
      </c>
      <c r="D187" s="1" t="str">
        <f t="shared" si="17"/>
        <v/>
      </c>
      <c r="E187" s="1" t="str">
        <f t="shared" si="18"/>
        <v/>
      </c>
    </row>
    <row r="188" spans="1:5">
      <c r="A188" t="str">
        <f t="shared" si="15"/>
        <v/>
      </c>
      <c r="B188" s="1" t="str">
        <f t="shared" si="11"/>
        <v/>
      </c>
      <c r="C188" s="1" t="str">
        <f t="shared" si="16"/>
        <v/>
      </c>
      <c r="D188" s="1" t="str">
        <f t="shared" si="17"/>
        <v/>
      </c>
      <c r="E188" s="1" t="str">
        <f t="shared" si="18"/>
        <v/>
      </c>
    </row>
    <row r="189" spans="1:5">
      <c r="A189" t="str">
        <f t="shared" si="15"/>
        <v/>
      </c>
      <c r="B189" s="1" t="str">
        <f t="shared" si="11"/>
        <v/>
      </c>
      <c r="C189" s="1" t="str">
        <f t="shared" si="16"/>
        <v/>
      </c>
      <c r="D189" s="1" t="str">
        <f t="shared" si="17"/>
        <v/>
      </c>
      <c r="E189" s="1" t="str">
        <f t="shared" si="18"/>
        <v/>
      </c>
    </row>
    <row r="190" spans="1:5">
      <c r="A190" t="str">
        <f t="shared" si="15"/>
        <v/>
      </c>
      <c r="B190" s="1" t="str">
        <f t="shared" si="11"/>
        <v/>
      </c>
      <c r="C190" s="1" t="str">
        <f t="shared" si="16"/>
        <v/>
      </c>
      <c r="D190" s="1" t="str">
        <f t="shared" si="17"/>
        <v/>
      </c>
      <c r="E190" s="1" t="str">
        <f t="shared" si="18"/>
        <v/>
      </c>
    </row>
    <row r="191" spans="1:5">
      <c r="A191" t="str">
        <f t="shared" si="15"/>
        <v/>
      </c>
      <c r="B191" s="1" t="str">
        <f t="shared" si="11"/>
        <v/>
      </c>
      <c r="C191" s="1" t="str">
        <f t="shared" si="16"/>
        <v/>
      </c>
      <c r="D191" s="1" t="str">
        <f t="shared" si="17"/>
        <v/>
      </c>
      <c r="E191" s="1" t="str">
        <f t="shared" si="18"/>
        <v/>
      </c>
    </row>
    <row r="192" spans="1:5">
      <c r="A192" t="str">
        <f t="shared" si="15"/>
        <v/>
      </c>
      <c r="B192" s="1" t="str">
        <f t="shared" si="11"/>
        <v/>
      </c>
      <c r="C192" s="1" t="str">
        <f t="shared" si="16"/>
        <v/>
      </c>
      <c r="D192" s="1" t="str">
        <f t="shared" si="17"/>
        <v/>
      </c>
      <c r="E192" s="1" t="str">
        <f t="shared" si="18"/>
        <v/>
      </c>
    </row>
    <row r="193" spans="1:5">
      <c r="A193" t="str">
        <f t="shared" si="15"/>
        <v/>
      </c>
      <c r="B193" s="1" t="str">
        <f t="shared" si="11"/>
        <v/>
      </c>
      <c r="C193" s="1" t="str">
        <f t="shared" si="16"/>
        <v/>
      </c>
      <c r="D193" s="1" t="str">
        <f t="shared" si="17"/>
        <v/>
      </c>
      <c r="E193" s="1" t="str">
        <f t="shared" si="18"/>
        <v/>
      </c>
    </row>
    <row r="194" spans="1:5">
      <c r="A194" t="str">
        <f t="shared" si="15"/>
        <v/>
      </c>
      <c r="B194" s="1" t="str">
        <f t="shared" si="11"/>
        <v/>
      </c>
      <c r="C194" s="1" t="str">
        <f t="shared" si="16"/>
        <v/>
      </c>
      <c r="D194" s="1" t="str">
        <f t="shared" si="17"/>
        <v/>
      </c>
      <c r="E194" s="1" t="str">
        <f t="shared" si="18"/>
        <v/>
      </c>
    </row>
    <row r="195" spans="1:5">
      <c r="A195" t="str">
        <f t="shared" si="15"/>
        <v/>
      </c>
      <c r="B195" s="1" t="str">
        <f t="shared" si="11"/>
        <v/>
      </c>
      <c r="C195" s="1" t="str">
        <f t="shared" si="16"/>
        <v/>
      </c>
      <c r="D195" s="1" t="str">
        <f t="shared" si="17"/>
        <v/>
      </c>
      <c r="E195" s="1" t="str">
        <f t="shared" si="18"/>
        <v/>
      </c>
    </row>
    <row r="196" spans="1:5">
      <c r="A196" t="str">
        <f t="shared" si="15"/>
        <v/>
      </c>
      <c r="B196" s="1" t="str">
        <f t="shared" si="11"/>
        <v/>
      </c>
      <c r="C196" s="1" t="str">
        <f t="shared" si="16"/>
        <v/>
      </c>
      <c r="D196" s="1" t="str">
        <f t="shared" si="17"/>
        <v/>
      </c>
      <c r="E196" s="1" t="str">
        <f t="shared" si="18"/>
        <v/>
      </c>
    </row>
    <row r="197" spans="1:5">
      <c r="A197" t="str">
        <f t="shared" si="15"/>
        <v/>
      </c>
      <c r="B197" s="1" t="str">
        <f t="shared" si="11"/>
        <v/>
      </c>
      <c r="C197" s="1" t="str">
        <f t="shared" si="16"/>
        <v/>
      </c>
      <c r="D197" s="1" t="str">
        <f t="shared" si="17"/>
        <v/>
      </c>
      <c r="E197" s="1" t="str">
        <f t="shared" si="18"/>
        <v/>
      </c>
    </row>
    <row r="198" spans="1:5">
      <c r="A198" t="str">
        <f t="shared" si="15"/>
        <v/>
      </c>
      <c r="B198" s="1" t="str">
        <f t="shared" si="11"/>
        <v/>
      </c>
      <c r="C198" s="1" t="str">
        <f t="shared" si="16"/>
        <v/>
      </c>
      <c r="D198" s="1" t="str">
        <f t="shared" si="17"/>
        <v/>
      </c>
      <c r="E198" s="1" t="str">
        <f t="shared" si="18"/>
        <v/>
      </c>
    </row>
    <row r="199" spans="1:5">
      <c r="A199" t="str">
        <f t="shared" si="15"/>
        <v/>
      </c>
      <c r="B199" s="1" t="str">
        <f t="shared" si="11"/>
        <v/>
      </c>
      <c r="C199" s="1" t="str">
        <f t="shared" si="16"/>
        <v/>
      </c>
      <c r="D199" s="1" t="str">
        <f t="shared" si="17"/>
        <v/>
      </c>
      <c r="E199" s="1" t="str">
        <f t="shared" si="18"/>
        <v/>
      </c>
    </row>
    <row r="200" spans="1:5">
      <c r="A200" t="str">
        <f t="shared" si="15"/>
        <v/>
      </c>
      <c r="B200" s="1" t="str">
        <f t="shared" si="11"/>
        <v/>
      </c>
      <c r="C200" s="1" t="str">
        <f t="shared" si="16"/>
        <v/>
      </c>
      <c r="D200" s="1" t="str">
        <f t="shared" si="17"/>
        <v/>
      </c>
      <c r="E200" s="1" t="str">
        <f t="shared" si="18"/>
        <v/>
      </c>
    </row>
    <row r="201" spans="1:5">
      <c r="A201" t="str">
        <f t="shared" si="15"/>
        <v/>
      </c>
      <c r="B201" s="1" t="str">
        <f t="shared" si="11"/>
        <v/>
      </c>
      <c r="C201" s="1" t="str">
        <f t="shared" si="16"/>
        <v/>
      </c>
      <c r="D201" s="1" t="str">
        <f t="shared" si="17"/>
        <v/>
      </c>
      <c r="E201" s="1" t="str">
        <f t="shared" si="18"/>
        <v/>
      </c>
    </row>
    <row r="202" spans="1:5">
      <c r="A202" t="str">
        <f t="shared" si="15"/>
        <v/>
      </c>
      <c r="B202" s="1" t="str">
        <f t="shared" si="11"/>
        <v/>
      </c>
      <c r="C202" s="1" t="str">
        <f t="shared" si="16"/>
        <v/>
      </c>
      <c r="D202" s="1" t="str">
        <f t="shared" si="17"/>
        <v/>
      </c>
      <c r="E202" s="1" t="str">
        <f t="shared" si="18"/>
        <v/>
      </c>
    </row>
    <row r="203" spans="1:5">
      <c r="A203" t="str">
        <f t="shared" si="15"/>
        <v/>
      </c>
      <c r="B203" s="1" t="str">
        <f t="shared" si="11"/>
        <v/>
      </c>
      <c r="C203" s="1" t="str">
        <f t="shared" si="16"/>
        <v/>
      </c>
      <c r="D203" s="1" t="str">
        <f t="shared" si="17"/>
        <v/>
      </c>
      <c r="E203" s="1" t="str">
        <f t="shared" si="18"/>
        <v/>
      </c>
    </row>
    <row r="204" spans="1:5">
      <c r="A204" t="str">
        <f t="shared" si="15"/>
        <v/>
      </c>
      <c r="B204" s="1" t="str">
        <f t="shared" si="11"/>
        <v/>
      </c>
      <c r="C204" s="1" t="str">
        <f t="shared" si="16"/>
        <v/>
      </c>
      <c r="D204" s="1" t="str">
        <f t="shared" si="17"/>
        <v/>
      </c>
      <c r="E204" s="1" t="str">
        <f t="shared" si="18"/>
        <v/>
      </c>
    </row>
    <row r="205" spans="1:5">
      <c r="A205" t="str">
        <f t="shared" si="15"/>
        <v/>
      </c>
      <c r="B205" s="1" t="str">
        <f t="shared" si="11"/>
        <v/>
      </c>
      <c r="C205" s="1" t="str">
        <f t="shared" si="16"/>
        <v/>
      </c>
      <c r="D205" s="1" t="str">
        <f t="shared" si="17"/>
        <v/>
      </c>
      <c r="E205" s="1" t="str">
        <f t="shared" si="18"/>
        <v/>
      </c>
    </row>
    <row r="206" spans="1:5">
      <c r="A206" t="str">
        <f t="shared" si="15"/>
        <v/>
      </c>
      <c r="B206" s="1" t="str">
        <f t="shared" si="11"/>
        <v/>
      </c>
      <c r="C206" s="1" t="str">
        <f t="shared" si="16"/>
        <v/>
      </c>
      <c r="D206" s="1" t="str">
        <f t="shared" si="17"/>
        <v/>
      </c>
      <c r="E206" s="1" t="str">
        <f t="shared" si="18"/>
        <v/>
      </c>
    </row>
    <row r="207" spans="1:5">
      <c r="A207" t="str">
        <f t="shared" si="15"/>
        <v/>
      </c>
      <c r="B207" s="1" t="str">
        <f t="shared" si="11"/>
        <v/>
      </c>
      <c r="C207" s="1" t="str">
        <f t="shared" si="16"/>
        <v/>
      </c>
      <c r="D207" s="1" t="str">
        <f t="shared" si="17"/>
        <v/>
      </c>
      <c r="E207" s="1" t="str">
        <f t="shared" si="18"/>
        <v/>
      </c>
    </row>
    <row r="208" spans="1:5">
      <c r="A208" t="str">
        <f t="shared" si="15"/>
        <v/>
      </c>
      <c r="B208" s="1" t="str">
        <f t="shared" ref="B208:B271" si="19">IF(A208="","",$B$14)</f>
        <v/>
      </c>
      <c r="C208" s="1" t="str">
        <f t="shared" si="16"/>
        <v/>
      </c>
      <c r="D208" s="1" t="str">
        <f t="shared" si="17"/>
        <v/>
      </c>
      <c r="E208" s="1" t="str">
        <f t="shared" si="18"/>
        <v/>
      </c>
    </row>
    <row r="209" spans="1:5">
      <c r="A209" t="str">
        <f t="shared" si="15"/>
        <v/>
      </c>
      <c r="B209" s="1" t="str">
        <f t="shared" si="19"/>
        <v/>
      </c>
      <c r="C209" s="1" t="str">
        <f t="shared" si="16"/>
        <v/>
      </c>
      <c r="D209" s="1" t="str">
        <f t="shared" si="17"/>
        <v/>
      </c>
      <c r="E209" s="1" t="str">
        <f t="shared" si="18"/>
        <v/>
      </c>
    </row>
    <row r="210" spans="1:5">
      <c r="A210" t="str">
        <f t="shared" si="15"/>
        <v/>
      </c>
      <c r="B210" s="1" t="str">
        <f t="shared" si="19"/>
        <v/>
      </c>
      <c r="C210" s="1" t="str">
        <f t="shared" si="16"/>
        <v/>
      </c>
      <c r="D210" s="1" t="str">
        <f t="shared" si="17"/>
        <v/>
      </c>
      <c r="E210" s="1" t="str">
        <f t="shared" si="18"/>
        <v/>
      </c>
    </row>
    <row r="211" spans="1:5">
      <c r="A211" t="str">
        <f t="shared" si="15"/>
        <v/>
      </c>
      <c r="B211" s="1" t="str">
        <f t="shared" si="19"/>
        <v/>
      </c>
      <c r="C211" s="1" t="str">
        <f t="shared" si="16"/>
        <v/>
      </c>
      <c r="D211" s="1" t="str">
        <f t="shared" si="17"/>
        <v/>
      </c>
      <c r="E211" s="1" t="str">
        <f t="shared" si="18"/>
        <v/>
      </c>
    </row>
    <row r="212" spans="1:5">
      <c r="A212" t="str">
        <f t="shared" si="15"/>
        <v/>
      </c>
      <c r="B212" s="1" t="str">
        <f t="shared" si="19"/>
        <v/>
      </c>
      <c r="C212" s="1" t="str">
        <f t="shared" si="16"/>
        <v/>
      </c>
      <c r="D212" s="1" t="str">
        <f t="shared" si="17"/>
        <v/>
      </c>
      <c r="E212" s="1" t="str">
        <f t="shared" si="18"/>
        <v/>
      </c>
    </row>
    <row r="213" spans="1:5">
      <c r="A213" t="str">
        <f t="shared" si="15"/>
        <v/>
      </c>
      <c r="B213" s="1" t="str">
        <f t="shared" si="19"/>
        <v/>
      </c>
      <c r="C213" s="1" t="str">
        <f t="shared" si="16"/>
        <v/>
      </c>
      <c r="D213" s="1" t="str">
        <f t="shared" si="17"/>
        <v/>
      </c>
      <c r="E213" s="1" t="str">
        <f t="shared" si="18"/>
        <v/>
      </c>
    </row>
    <row r="214" spans="1:5">
      <c r="A214" t="str">
        <f t="shared" si="15"/>
        <v/>
      </c>
      <c r="B214" s="1" t="str">
        <f t="shared" si="19"/>
        <v/>
      </c>
      <c r="C214" s="1" t="str">
        <f t="shared" si="16"/>
        <v/>
      </c>
      <c r="D214" s="1" t="str">
        <f t="shared" si="17"/>
        <v/>
      </c>
      <c r="E214" s="1" t="str">
        <f t="shared" si="18"/>
        <v/>
      </c>
    </row>
    <row r="215" spans="1:5">
      <c r="A215" t="str">
        <f t="shared" si="15"/>
        <v/>
      </c>
      <c r="B215" s="1" t="str">
        <f t="shared" si="19"/>
        <v/>
      </c>
      <c r="C215" s="1" t="str">
        <f t="shared" si="16"/>
        <v/>
      </c>
      <c r="D215" s="1" t="str">
        <f t="shared" si="17"/>
        <v/>
      </c>
      <c r="E215" s="1" t="str">
        <f t="shared" si="18"/>
        <v/>
      </c>
    </row>
    <row r="216" spans="1:5">
      <c r="A216" t="str">
        <f t="shared" si="15"/>
        <v/>
      </c>
      <c r="B216" s="1" t="str">
        <f t="shared" si="19"/>
        <v/>
      </c>
      <c r="C216" s="1" t="str">
        <f t="shared" si="16"/>
        <v/>
      </c>
      <c r="D216" s="1" t="str">
        <f t="shared" si="17"/>
        <v/>
      </c>
      <c r="E216" s="1" t="str">
        <f t="shared" si="18"/>
        <v/>
      </c>
    </row>
    <row r="217" spans="1:5">
      <c r="A217" t="str">
        <f t="shared" si="15"/>
        <v/>
      </c>
      <c r="B217" s="1" t="str">
        <f t="shared" si="19"/>
        <v/>
      </c>
      <c r="C217" s="1" t="str">
        <f t="shared" si="16"/>
        <v/>
      </c>
      <c r="D217" s="1" t="str">
        <f t="shared" si="17"/>
        <v/>
      </c>
      <c r="E217" s="1" t="str">
        <f t="shared" si="18"/>
        <v/>
      </c>
    </row>
    <row r="218" spans="1:5">
      <c r="A218" t="str">
        <f t="shared" si="15"/>
        <v/>
      </c>
      <c r="B218" s="1" t="str">
        <f t="shared" si="19"/>
        <v/>
      </c>
      <c r="C218" s="1" t="str">
        <f t="shared" si="16"/>
        <v/>
      </c>
      <c r="D218" s="1" t="str">
        <f t="shared" si="17"/>
        <v/>
      </c>
      <c r="E218" s="1" t="str">
        <f t="shared" si="18"/>
        <v/>
      </c>
    </row>
    <row r="219" spans="1:5">
      <c r="A219" t="str">
        <f t="shared" si="15"/>
        <v/>
      </c>
      <c r="B219" s="1" t="str">
        <f t="shared" si="19"/>
        <v/>
      </c>
      <c r="C219" s="1" t="str">
        <f t="shared" si="16"/>
        <v/>
      </c>
      <c r="D219" s="1" t="str">
        <f t="shared" si="17"/>
        <v/>
      </c>
      <c r="E219" s="1" t="str">
        <f t="shared" si="18"/>
        <v/>
      </c>
    </row>
    <row r="220" spans="1:5">
      <c r="A220" t="str">
        <f t="shared" si="15"/>
        <v/>
      </c>
      <c r="B220" s="1" t="str">
        <f t="shared" si="19"/>
        <v/>
      </c>
      <c r="C220" s="1" t="str">
        <f t="shared" si="16"/>
        <v/>
      </c>
      <c r="D220" s="1" t="str">
        <f t="shared" si="17"/>
        <v/>
      </c>
      <c r="E220" s="1" t="str">
        <f t="shared" si="18"/>
        <v/>
      </c>
    </row>
    <row r="221" spans="1:5">
      <c r="A221" t="str">
        <f t="shared" si="15"/>
        <v/>
      </c>
      <c r="B221" s="1" t="str">
        <f t="shared" si="19"/>
        <v/>
      </c>
      <c r="C221" s="1" t="str">
        <f t="shared" si="16"/>
        <v/>
      </c>
      <c r="D221" s="1" t="str">
        <f t="shared" si="17"/>
        <v/>
      </c>
      <c r="E221" s="1" t="str">
        <f t="shared" si="18"/>
        <v/>
      </c>
    </row>
    <row r="222" spans="1:5">
      <c r="A222" t="str">
        <f t="shared" si="15"/>
        <v/>
      </c>
      <c r="B222" s="1" t="str">
        <f t="shared" si="19"/>
        <v/>
      </c>
      <c r="C222" s="1" t="str">
        <f t="shared" si="16"/>
        <v/>
      </c>
      <c r="D222" s="1" t="str">
        <f t="shared" si="17"/>
        <v/>
      </c>
      <c r="E222" s="1" t="str">
        <f t="shared" si="18"/>
        <v/>
      </c>
    </row>
    <row r="223" spans="1:5">
      <c r="A223" t="str">
        <f t="shared" si="15"/>
        <v/>
      </c>
      <c r="B223" s="1" t="str">
        <f t="shared" si="19"/>
        <v/>
      </c>
      <c r="C223" s="1" t="str">
        <f t="shared" si="16"/>
        <v/>
      </c>
      <c r="D223" s="1" t="str">
        <f t="shared" si="17"/>
        <v/>
      </c>
      <c r="E223" s="1" t="str">
        <f t="shared" si="18"/>
        <v/>
      </c>
    </row>
    <row r="224" spans="1:5">
      <c r="A224" t="str">
        <f t="shared" si="15"/>
        <v/>
      </c>
      <c r="B224" s="1" t="str">
        <f t="shared" si="19"/>
        <v/>
      </c>
      <c r="C224" s="1" t="str">
        <f t="shared" si="16"/>
        <v/>
      </c>
      <c r="D224" s="1" t="str">
        <f t="shared" si="17"/>
        <v/>
      </c>
      <c r="E224" s="1" t="str">
        <f t="shared" si="18"/>
        <v/>
      </c>
    </row>
    <row r="225" spans="1:5">
      <c r="A225" t="str">
        <f t="shared" si="15"/>
        <v/>
      </c>
      <c r="B225" s="1" t="str">
        <f t="shared" si="19"/>
        <v/>
      </c>
      <c r="C225" s="1" t="str">
        <f t="shared" si="16"/>
        <v/>
      </c>
      <c r="D225" s="1" t="str">
        <f t="shared" si="17"/>
        <v/>
      </c>
      <c r="E225" s="1" t="str">
        <f t="shared" si="18"/>
        <v/>
      </c>
    </row>
    <row r="226" spans="1:5">
      <c r="A226" t="str">
        <f t="shared" si="15"/>
        <v/>
      </c>
      <c r="B226" s="1" t="str">
        <f t="shared" si="19"/>
        <v/>
      </c>
      <c r="C226" s="1" t="str">
        <f t="shared" si="16"/>
        <v/>
      </c>
      <c r="D226" s="1" t="str">
        <f t="shared" si="17"/>
        <v/>
      </c>
      <c r="E226" s="1" t="str">
        <f t="shared" si="18"/>
        <v/>
      </c>
    </row>
    <row r="227" spans="1:5">
      <c r="A227" t="str">
        <f t="shared" si="15"/>
        <v/>
      </c>
      <c r="B227" s="1" t="str">
        <f t="shared" si="19"/>
        <v/>
      </c>
      <c r="C227" s="1" t="str">
        <f t="shared" si="16"/>
        <v/>
      </c>
      <c r="D227" s="1" t="str">
        <f t="shared" si="17"/>
        <v/>
      </c>
      <c r="E227" s="1" t="str">
        <f t="shared" si="18"/>
        <v/>
      </c>
    </row>
    <row r="228" spans="1:5">
      <c r="A228" t="str">
        <f t="shared" si="15"/>
        <v/>
      </c>
      <c r="B228" s="1" t="str">
        <f t="shared" si="19"/>
        <v/>
      </c>
      <c r="C228" s="1" t="str">
        <f t="shared" si="16"/>
        <v/>
      </c>
      <c r="D228" s="1" t="str">
        <f t="shared" si="17"/>
        <v/>
      </c>
      <c r="E228" s="1" t="str">
        <f t="shared" si="18"/>
        <v/>
      </c>
    </row>
    <row r="229" spans="1:5">
      <c r="A229" t="str">
        <f t="shared" si="15"/>
        <v/>
      </c>
      <c r="B229" s="1" t="str">
        <f t="shared" si="19"/>
        <v/>
      </c>
      <c r="C229" s="1" t="str">
        <f t="shared" si="16"/>
        <v/>
      </c>
      <c r="D229" s="1" t="str">
        <f t="shared" si="17"/>
        <v/>
      </c>
      <c r="E229" s="1" t="str">
        <f t="shared" si="18"/>
        <v/>
      </c>
    </row>
    <row r="230" spans="1:5">
      <c r="A230" t="str">
        <f t="shared" si="15"/>
        <v/>
      </c>
      <c r="B230" s="1" t="str">
        <f t="shared" si="19"/>
        <v/>
      </c>
      <c r="C230" s="1" t="str">
        <f t="shared" si="16"/>
        <v/>
      </c>
      <c r="D230" s="1" t="str">
        <f t="shared" si="17"/>
        <v/>
      </c>
      <c r="E230" s="1" t="str">
        <f t="shared" si="18"/>
        <v/>
      </c>
    </row>
    <row r="231" spans="1:5">
      <c r="A231" t="str">
        <f t="shared" si="15"/>
        <v/>
      </c>
      <c r="B231" s="1" t="str">
        <f t="shared" si="19"/>
        <v/>
      </c>
      <c r="C231" s="1" t="str">
        <f t="shared" si="16"/>
        <v/>
      </c>
      <c r="D231" s="1" t="str">
        <f t="shared" si="17"/>
        <v/>
      </c>
      <c r="E231" s="1" t="str">
        <f t="shared" si="18"/>
        <v/>
      </c>
    </row>
    <row r="232" spans="1:5">
      <c r="A232" t="str">
        <f t="shared" si="15"/>
        <v/>
      </c>
      <c r="B232" s="1" t="str">
        <f t="shared" si="19"/>
        <v/>
      </c>
      <c r="C232" s="1" t="str">
        <f t="shared" si="16"/>
        <v/>
      </c>
      <c r="D232" s="1" t="str">
        <f t="shared" si="17"/>
        <v/>
      </c>
      <c r="E232" s="1" t="str">
        <f t="shared" si="18"/>
        <v/>
      </c>
    </row>
    <row r="233" spans="1:5">
      <c r="A233" t="str">
        <f t="shared" si="15"/>
        <v/>
      </c>
      <c r="B233" s="1" t="str">
        <f t="shared" si="19"/>
        <v/>
      </c>
      <c r="C233" s="1" t="str">
        <f t="shared" si="16"/>
        <v/>
      </c>
      <c r="D233" s="1" t="str">
        <f t="shared" si="17"/>
        <v/>
      </c>
      <c r="E233" s="1" t="str">
        <f t="shared" si="18"/>
        <v/>
      </c>
    </row>
    <row r="234" spans="1:5">
      <c r="A234" t="str">
        <f t="shared" si="15"/>
        <v/>
      </c>
      <c r="B234" s="1" t="str">
        <f t="shared" si="19"/>
        <v/>
      </c>
      <c r="C234" s="1" t="str">
        <f t="shared" si="16"/>
        <v/>
      </c>
      <c r="D234" s="1" t="str">
        <f t="shared" si="17"/>
        <v/>
      </c>
      <c r="E234" s="1" t="str">
        <f t="shared" si="18"/>
        <v/>
      </c>
    </row>
    <row r="235" spans="1:5">
      <c r="A235" t="str">
        <f t="shared" si="15"/>
        <v/>
      </c>
      <c r="B235" s="1" t="str">
        <f t="shared" si="19"/>
        <v/>
      </c>
      <c r="C235" s="1" t="str">
        <f t="shared" si="16"/>
        <v/>
      </c>
      <c r="D235" s="1" t="str">
        <f t="shared" si="17"/>
        <v/>
      </c>
      <c r="E235" s="1" t="str">
        <f t="shared" si="18"/>
        <v/>
      </c>
    </row>
    <row r="236" spans="1:5">
      <c r="A236" t="str">
        <f t="shared" si="15"/>
        <v/>
      </c>
      <c r="B236" s="1" t="str">
        <f t="shared" si="19"/>
        <v/>
      </c>
      <c r="C236" s="1" t="str">
        <f t="shared" si="16"/>
        <v/>
      </c>
      <c r="D236" s="1" t="str">
        <f t="shared" si="17"/>
        <v/>
      </c>
      <c r="E236" s="1" t="str">
        <f t="shared" si="18"/>
        <v/>
      </c>
    </row>
    <row r="237" spans="1:5">
      <c r="A237" t="str">
        <f t="shared" si="15"/>
        <v/>
      </c>
      <c r="B237" s="1" t="str">
        <f t="shared" si="19"/>
        <v/>
      </c>
      <c r="C237" s="1" t="str">
        <f t="shared" si="16"/>
        <v/>
      </c>
      <c r="D237" s="1" t="str">
        <f t="shared" si="17"/>
        <v/>
      </c>
      <c r="E237" s="1" t="str">
        <f t="shared" si="18"/>
        <v/>
      </c>
    </row>
    <row r="238" spans="1:5">
      <c r="A238" t="str">
        <f t="shared" si="15"/>
        <v/>
      </c>
      <c r="B238" s="1" t="str">
        <f t="shared" si="19"/>
        <v/>
      </c>
      <c r="C238" s="1" t="str">
        <f t="shared" si="16"/>
        <v/>
      </c>
      <c r="D238" s="1" t="str">
        <f t="shared" si="17"/>
        <v/>
      </c>
      <c r="E238" s="1" t="str">
        <f t="shared" si="18"/>
        <v/>
      </c>
    </row>
    <row r="239" spans="1:5">
      <c r="A239" t="str">
        <f t="shared" si="15"/>
        <v/>
      </c>
      <c r="B239" s="1" t="str">
        <f t="shared" si="19"/>
        <v/>
      </c>
      <c r="C239" s="1" t="str">
        <f t="shared" si="16"/>
        <v/>
      </c>
      <c r="D239" s="1" t="str">
        <f t="shared" si="17"/>
        <v/>
      </c>
      <c r="E239" s="1" t="str">
        <f t="shared" si="18"/>
        <v/>
      </c>
    </row>
    <row r="240" spans="1:5">
      <c r="A240" t="str">
        <f t="shared" si="15"/>
        <v/>
      </c>
      <c r="B240" s="1" t="str">
        <f t="shared" si="19"/>
        <v/>
      </c>
      <c r="C240" s="1" t="str">
        <f t="shared" si="16"/>
        <v/>
      </c>
      <c r="D240" s="1" t="str">
        <f t="shared" si="17"/>
        <v/>
      </c>
      <c r="E240" s="1" t="str">
        <f t="shared" si="18"/>
        <v/>
      </c>
    </row>
    <row r="241" spans="1:5">
      <c r="A241" t="str">
        <f t="shared" si="15"/>
        <v/>
      </c>
      <c r="B241" s="1" t="str">
        <f t="shared" si="19"/>
        <v/>
      </c>
      <c r="C241" s="1" t="str">
        <f t="shared" si="16"/>
        <v/>
      </c>
      <c r="D241" s="1" t="str">
        <f t="shared" si="17"/>
        <v/>
      </c>
      <c r="E241" s="1" t="str">
        <f t="shared" si="18"/>
        <v/>
      </c>
    </row>
    <row r="242" spans="1:5">
      <c r="A242" t="str">
        <f t="shared" si="15"/>
        <v/>
      </c>
      <c r="B242" s="1" t="str">
        <f t="shared" si="19"/>
        <v/>
      </c>
      <c r="C242" s="1" t="str">
        <f t="shared" si="16"/>
        <v/>
      </c>
      <c r="D242" s="1" t="str">
        <f t="shared" si="17"/>
        <v/>
      </c>
      <c r="E242" s="1" t="str">
        <f t="shared" si="18"/>
        <v/>
      </c>
    </row>
    <row r="243" spans="1:5">
      <c r="A243" t="str">
        <f t="shared" ref="A243:A263" si="20">IF(($B$7*$B$8&gt;A242),IF(($B$7*$B$8)=A242,"",A242+1),"")</f>
        <v/>
      </c>
      <c r="B243" s="1" t="str">
        <f t="shared" si="19"/>
        <v/>
      </c>
      <c r="C243" s="1" t="str">
        <f t="shared" ref="C243:C263" si="21">IF(A243="","",B243-D243)</f>
        <v/>
      </c>
      <c r="D243" s="1" t="str">
        <f t="shared" ref="D243:D263" si="22">IF(A243="","",(E242*($B$6/$B$8)))</f>
        <v/>
      </c>
      <c r="E243" s="1" t="str">
        <f t="shared" ref="E243:E263" si="23">IF(A243="","",E242-C243)</f>
        <v/>
      </c>
    </row>
    <row r="244" spans="1:5">
      <c r="A244" t="str">
        <f t="shared" si="20"/>
        <v/>
      </c>
      <c r="B244" s="1" t="str">
        <f t="shared" si="19"/>
        <v/>
      </c>
      <c r="C244" s="1" t="str">
        <f t="shared" si="21"/>
        <v/>
      </c>
      <c r="D244" s="1" t="str">
        <f t="shared" si="22"/>
        <v/>
      </c>
      <c r="E244" s="1" t="str">
        <f t="shared" si="23"/>
        <v/>
      </c>
    </row>
    <row r="245" spans="1:5">
      <c r="A245" t="str">
        <f t="shared" si="20"/>
        <v/>
      </c>
      <c r="B245" s="1" t="str">
        <f t="shared" si="19"/>
        <v/>
      </c>
      <c r="C245" s="1" t="str">
        <f t="shared" si="21"/>
        <v/>
      </c>
      <c r="D245" s="1" t="str">
        <f t="shared" si="22"/>
        <v/>
      </c>
      <c r="E245" s="1" t="str">
        <f t="shared" si="23"/>
        <v/>
      </c>
    </row>
    <row r="246" spans="1:5">
      <c r="A246" t="str">
        <f t="shared" si="20"/>
        <v/>
      </c>
      <c r="B246" s="1" t="str">
        <f t="shared" si="19"/>
        <v/>
      </c>
      <c r="C246" s="1" t="str">
        <f t="shared" si="21"/>
        <v/>
      </c>
      <c r="D246" s="1" t="str">
        <f t="shared" si="22"/>
        <v/>
      </c>
      <c r="E246" s="1" t="str">
        <f t="shared" si="23"/>
        <v/>
      </c>
    </row>
    <row r="247" spans="1:5">
      <c r="A247" t="str">
        <f t="shared" si="20"/>
        <v/>
      </c>
      <c r="B247" s="1" t="str">
        <f t="shared" si="19"/>
        <v/>
      </c>
      <c r="C247" s="1" t="str">
        <f t="shared" si="21"/>
        <v/>
      </c>
      <c r="D247" s="1" t="str">
        <f t="shared" si="22"/>
        <v/>
      </c>
      <c r="E247" s="1" t="str">
        <f t="shared" si="23"/>
        <v/>
      </c>
    </row>
    <row r="248" spans="1:5">
      <c r="A248" t="str">
        <f t="shared" si="20"/>
        <v/>
      </c>
      <c r="B248" s="1" t="str">
        <f t="shared" si="19"/>
        <v/>
      </c>
      <c r="C248" s="1" t="str">
        <f t="shared" si="21"/>
        <v/>
      </c>
      <c r="D248" s="1" t="str">
        <f t="shared" si="22"/>
        <v/>
      </c>
      <c r="E248" s="1" t="str">
        <f t="shared" si="23"/>
        <v/>
      </c>
    </row>
    <row r="249" spans="1:5">
      <c r="A249" t="str">
        <f t="shared" si="20"/>
        <v/>
      </c>
      <c r="B249" s="1" t="str">
        <f t="shared" si="19"/>
        <v/>
      </c>
      <c r="C249" s="1" t="str">
        <f t="shared" si="21"/>
        <v/>
      </c>
      <c r="D249" s="1" t="str">
        <f t="shared" si="22"/>
        <v/>
      </c>
      <c r="E249" s="1" t="str">
        <f t="shared" si="23"/>
        <v/>
      </c>
    </row>
    <row r="250" spans="1:5">
      <c r="A250" t="str">
        <f t="shared" si="20"/>
        <v/>
      </c>
      <c r="B250" s="1" t="str">
        <f t="shared" si="19"/>
        <v/>
      </c>
      <c r="C250" s="1" t="str">
        <f t="shared" si="21"/>
        <v/>
      </c>
      <c r="D250" s="1" t="str">
        <f t="shared" si="22"/>
        <v/>
      </c>
      <c r="E250" s="1" t="str">
        <f t="shared" si="23"/>
        <v/>
      </c>
    </row>
    <row r="251" spans="1:5">
      <c r="A251" t="str">
        <f t="shared" si="20"/>
        <v/>
      </c>
      <c r="B251" s="1" t="str">
        <f t="shared" si="19"/>
        <v/>
      </c>
      <c r="C251" s="1" t="str">
        <f t="shared" si="21"/>
        <v/>
      </c>
      <c r="D251" s="1" t="str">
        <f t="shared" si="22"/>
        <v/>
      </c>
      <c r="E251" s="1" t="str">
        <f t="shared" si="23"/>
        <v/>
      </c>
    </row>
    <row r="252" spans="1:5">
      <c r="A252" t="str">
        <f t="shared" si="20"/>
        <v/>
      </c>
      <c r="B252" s="1" t="str">
        <f t="shared" si="19"/>
        <v/>
      </c>
      <c r="C252" s="1" t="str">
        <f t="shared" si="21"/>
        <v/>
      </c>
      <c r="D252" s="1" t="str">
        <f t="shared" si="22"/>
        <v/>
      </c>
      <c r="E252" s="1" t="str">
        <f t="shared" si="23"/>
        <v/>
      </c>
    </row>
    <row r="253" spans="1:5">
      <c r="A253" t="str">
        <f t="shared" si="20"/>
        <v/>
      </c>
      <c r="B253" s="1" t="str">
        <f t="shared" si="19"/>
        <v/>
      </c>
      <c r="C253" s="1" t="str">
        <f t="shared" si="21"/>
        <v/>
      </c>
      <c r="D253" s="1" t="str">
        <f t="shared" si="22"/>
        <v/>
      </c>
      <c r="E253" s="1" t="str">
        <f t="shared" si="23"/>
        <v/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U21" sqref="U21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V7" sqref="V7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398660.69789473695</v>
      </c>
      <c r="H7" s="94">
        <f>'Profit and Loss Statement'!F21/'Profit and Loss Statement'!F8</f>
        <v>413420.49663157901</v>
      </c>
      <c r="I7" s="94">
        <f>'Profit and Loss Statement'!G21/'Profit and Loss Statement'!G8</f>
        <v>429173.99237368425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398660.69789473695</v>
      </c>
      <c r="H11" s="114">
        <f t="shared" ref="H11:K11" si="0">H7</f>
        <v>413420.49663157901</v>
      </c>
      <c r="I11" s="114">
        <f t="shared" si="0"/>
        <v>429173.99237368425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B36" sqref="B36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0.1</v>
      </c>
      <c r="H8" s="101">
        <f>'Revenue Overview'!H5</f>
        <v>0.1</v>
      </c>
      <c r="I8" s="128"/>
      <c r="J8" s="128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0.16107407954014993</v>
      </c>
      <c r="G12" s="101">
        <f>'Profit and Loss Statement'!F28/'Profit and Loss Statement'!F6</f>
        <v>0.19098484422213183</v>
      </c>
      <c r="H12" s="101">
        <f>'Profit and Loss Statement'!G28/'Profit and Loss Statement'!G6</f>
        <v>0.21866160801899437</v>
      </c>
      <c r="I12" s="128"/>
      <c r="J12" s="128"/>
    </row>
    <row r="13" spans="5:10">
      <c r="E13" s="66" t="s">
        <v>92</v>
      </c>
      <c r="F13" s="105">
        <f>'Balance Sheet'!E10/'Balance Sheet'!E15</f>
        <v>1.5153964902978543</v>
      </c>
      <c r="G13" s="105">
        <f>'Balance Sheet'!F10/'Balance Sheet'!F15</f>
        <v>1.974308275393015</v>
      </c>
      <c r="H13" s="105">
        <f>'Balance Sheet'!G10/'Balance Sheet'!G15</f>
        <v>2.6194560764690111</v>
      </c>
      <c r="I13" s="129"/>
      <c r="J13" s="129"/>
    </row>
    <row r="14" spans="5:10">
      <c r="E14" s="66" t="s">
        <v>93</v>
      </c>
      <c r="F14" s="105">
        <f>'Balance Sheet'!E17/'Balance Sheet'!E15</f>
        <v>0.51539649029785428</v>
      </c>
      <c r="G14" s="105">
        <f>'Balance Sheet'!F17/'Balance Sheet'!F15</f>
        <v>0.97430827539301501</v>
      </c>
      <c r="H14" s="105">
        <f>'Balance Sheet'!G17/'Balance Sheet'!G15</f>
        <v>1.6194560764690111</v>
      </c>
      <c r="I14" s="129"/>
      <c r="J14" s="129"/>
    </row>
    <row r="15" spans="5:10">
      <c r="E15" s="66" t="s">
        <v>94</v>
      </c>
      <c r="F15" s="105">
        <f>'Balance Sheet'!E10/'Balance Sheet'!E17</f>
        <v>2.9402538023145777</v>
      </c>
      <c r="G15" s="105">
        <f>'Balance Sheet'!F10/'Balance Sheet'!F17</f>
        <v>2.026369194695202</v>
      </c>
      <c r="H15" s="105">
        <f>'Balance Sheet'!G10/'Balance Sheet'!G17</f>
        <v>1.6174912765651259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0.54066137452981622</v>
      </c>
      <c r="G18" s="105">
        <f>'Balance Sheet'!F7/'Balance Sheet'!F10</f>
        <v>0.67303909641102522</v>
      </c>
      <c r="H18" s="105">
        <f>'Balance Sheet'!G7/'Balance Sheet'!G10</f>
        <v>0.77307143354127028</v>
      </c>
      <c r="I18" s="129"/>
      <c r="J18" s="129"/>
    </row>
    <row r="19" spans="5:10">
      <c r="E19" s="66" t="s">
        <v>96</v>
      </c>
      <c r="F19" s="105">
        <f>'Balance Sheet'!E7/'Balance Sheet'!E15</f>
        <v>0.81931634940209719</v>
      </c>
      <c r="G19" s="105">
        <f>'Balance Sheet'!F7/'Balance Sheet'!F15</f>
        <v>1.3287866577073244</v>
      </c>
      <c r="H19" s="105">
        <f>'Balance Sheet'!G7/'Balance Sheet'!G15</f>
        <v>2.0250266641342898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topLeftCell="A2" workbookViewId="0">
      <selection activeCell="C40" sqref="C40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114</v>
      </c>
      <c r="C5" s="14">
        <v>50000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117</v>
      </c>
      <c r="C6" s="14">
        <v>45000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17"/>
      <c r="N6" s="117"/>
    </row>
    <row r="7" spans="2:14">
      <c r="B7" s="4" t="s">
        <v>133</v>
      </c>
      <c r="C7" s="14">
        <v>35000</v>
      </c>
      <c r="G7" s="4" t="str">
        <f>B6</f>
        <v>Operational Managers</v>
      </c>
      <c r="H7" s="14">
        <f t="shared" si="0"/>
        <v>45000</v>
      </c>
      <c r="I7" s="14">
        <f t="shared" si="1"/>
        <v>46350</v>
      </c>
      <c r="J7" s="14">
        <f t="shared" si="2"/>
        <v>47740.5</v>
      </c>
      <c r="M7" s="117"/>
      <c r="N7" s="117"/>
    </row>
    <row r="8" spans="2:14">
      <c r="B8" s="4" t="s">
        <v>132</v>
      </c>
      <c r="C8" s="14">
        <v>30000</v>
      </c>
      <c r="G8" s="4" t="str">
        <f>B7</f>
        <v>Staff Notaries</v>
      </c>
      <c r="H8" s="14">
        <f t="shared" si="0"/>
        <v>140000</v>
      </c>
      <c r="I8" s="14">
        <f t="shared" si="1"/>
        <v>144200</v>
      </c>
      <c r="J8" s="14">
        <f t="shared" si="2"/>
        <v>148526</v>
      </c>
      <c r="M8" s="117"/>
      <c r="N8" s="117"/>
    </row>
    <row r="9" spans="2:14">
      <c r="B9" s="4" t="s">
        <v>129</v>
      </c>
      <c r="C9" s="14">
        <v>37500</v>
      </c>
      <c r="G9" s="4" t="str">
        <f>B8</f>
        <v>Scheduling Staff</v>
      </c>
      <c r="H9" s="14">
        <f t="shared" si="0"/>
        <v>30000</v>
      </c>
      <c r="I9" s="14">
        <f t="shared" si="1"/>
        <v>30900</v>
      </c>
      <c r="J9" s="14">
        <f t="shared" si="2"/>
        <v>31827</v>
      </c>
      <c r="M9" s="117"/>
      <c r="N9" s="117"/>
    </row>
    <row r="10" spans="2:14">
      <c r="B10" s="4" t="s">
        <v>119</v>
      </c>
      <c r="C10" s="14">
        <v>0</v>
      </c>
      <c r="G10" s="4" t="str">
        <f>B9</f>
        <v>Administrative Staff</v>
      </c>
      <c r="H10" s="14">
        <f t="shared" si="0"/>
        <v>37500</v>
      </c>
      <c r="I10" s="14">
        <f t="shared" si="1"/>
        <v>38625</v>
      </c>
      <c r="J10" s="14">
        <f t="shared" si="2"/>
        <v>39783.75</v>
      </c>
      <c r="M10" s="117"/>
      <c r="N10" s="117"/>
    </row>
    <row r="11" spans="2:14">
      <c r="B11" s="4" t="s">
        <v>124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125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126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123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302500</v>
      </c>
      <c r="I16" s="9">
        <f t="shared" ref="I16:J16" si="3">SUM(I6:I15)</f>
        <v>311575</v>
      </c>
      <c r="J16" s="9">
        <f t="shared" si="3"/>
        <v>320922.25</v>
      </c>
      <c r="M16" s="118"/>
      <c r="N16" s="118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Managers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Staff Notaries</v>
      </c>
      <c r="H20" s="4">
        <f t="shared" si="4"/>
        <v>4</v>
      </c>
      <c r="I20" s="4">
        <f t="shared" si="5"/>
        <v>4</v>
      </c>
      <c r="J20" s="4">
        <f t="shared" si="6"/>
        <v>4</v>
      </c>
      <c r="M20" s="30"/>
      <c r="N20" s="30"/>
    </row>
    <row r="21" spans="2:20">
      <c r="G21" s="4" t="str">
        <f>G9</f>
        <v>Scheduling Staff</v>
      </c>
      <c r="H21" s="4">
        <f t="shared" si="4"/>
        <v>1</v>
      </c>
      <c r="I21" s="4">
        <f t="shared" si="5"/>
        <v>1</v>
      </c>
      <c r="J21" s="4">
        <f t="shared" si="6"/>
        <v>1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1</v>
      </c>
      <c r="I22" s="4">
        <f t="shared" si="5"/>
        <v>1</v>
      </c>
      <c r="J22" s="4">
        <f t="shared" si="6"/>
        <v>1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Managers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Staff Notaries</v>
      </c>
      <c r="C26" s="5">
        <v>4</v>
      </c>
      <c r="D26" s="5">
        <v>4</v>
      </c>
      <c r="E26" s="5">
        <v>4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Scheduling Staff</v>
      </c>
      <c r="C27" s="5">
        <v>1</v>
      </c>
      <c r="D27" s="5">
        <v>1</v>
      </c>
      <c r="E27" s="5">
        <v>1</v>
      </c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Administrative Staff</v>
      </c>
      <c r="C28" s="5">
        <v>1</v>
      </c>
      <c r="D28" s="5">
        <v>1</v>
      </c>
      <c r="E28" s="5">
        <v>1</v>
      </c>
      <c r="F28" s="140"/>
      <c r="G28" s="10" t="s">
        <v>8</v>
      </c>
      <c r="H28" s="10">
        <f>SUM(H18:H27)</f>
        <v>8</v>
      </c>
      <c r="I28" s="10">
        <f t="shared" ref="I28:J28" si="8">SUM(I18:I27)</f>
        <v>8</v>
      </c>
      <c r="J28" s="10">
        <f t="shared" si="8"/>
        <v>8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119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120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121</v>
      </c>
      <c r="C31" s="5"/>
      <c r="D31" s="5"/>
      <c r="E31" s="5"/>
      <c r="L31" s="112" t="str">
        <f>G6</f>
        <v>Senior Management</v>
      </c>
      <c r="M31" s="113">
        <f>J6/$J$16</f>
        <v>0.16528925619834711</v>
      </c>
      <c r="O31" s="115"/>
      <c r="P31" s="115"/>
      <c r="Q31" s="115"/>
      <c r="R31" s="115"/>
      <c r="S31" s="115"/>
      <c r="T31" s="115"/>
    </row>
    <row r="32" spans="2:20">
      <c r="B32" s="15" t="s">
        <v>122</v>
      </c>
      <c r="C32" s="5"/>
      <c r="D32" s="5"/>
      <c r="E32" s="5"/>
      <c r="F32" s="30"/>
      <c r="G32" s="30"/>
      <c r="L32" s="112" t="str">
        <f>G7</f>
        <v>Operational Managers</v>
      </c>
      <c r="M32" s="113">
        <f>J7/$J$16</f>
        <v>0.1487603305785124</v>
      </c>
      <c r="O32" s="115"/>
      <c r="P32" s="115"/>
      <c r="Q32" s="115"/>
      <c r="T32" s="115"/>
    </row>
    <row r="33" spans="2:20">
      <c r="B33" s="15" t="s">
        <v>123</v>
      </c>
      <c r="C33" s="5"/>
      <c r="D33" s="5"/>
      <c r="E33" s="5"/>
      <c r="F33" s="30"/>
      <c r="G33" s="30"/>
      <c r="L33" s="112" t="str">
        <f>G8</f>
        <v>Staff Notaries</v>
      </c>
      <c r="M33" s="113">
        <f>J8/$J$16</f>
        <v>0.46280991735537191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Scheduling Staff</v>
      </c>
      <c r="M34" s="113">
        <f>J9/$J$16</f>
        <v>9.9173553719008267E-2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Administrative Staff</v>
      </c>
      <c r="M35" s="113">
        <f>J10/$J$16</f>
        <v>0.12396694214876033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9">B6</f>
        <v>Operational Managers</v>
      </c>
      <c r="C59" s="14">
        <f t="shared" si="9"/>
        <v>45000</v>
      </c>
      <c r="D59" s="14">
        <f t="shared" ref="D59:G59" si="10">C59*(1+$C$53)</f>
        <v>46350</v>
      </c>
      <c r="E59" s="14">
        <f t="shared" si="10"/>
        <v>47740.5</v>
      </c>
      <c r="F59" s="14">
        <f t="shared" si="10"/>
        <v>49172.715000000004</v>
      </c>
      <c r="G59" s="14">
        <f t="shared" si="10"/>
        <v>50647.896450000007</v>
      </c>
    </row>
    <row r="60" spans="2:7">
      <c r="B60" s="4" t="str">
        <f t="shared" si="9"/>
        <v>Staff Notaries</v>
      </c>
      <c r="C60" s="14">
        <f t="shared" si="9"/>
        <v>35000</v>
      </c>
      <c r="D60" s="14">
        <f t="shared" ref="D60:G60" si="11">C60*(1+$C$53)</f>
        <v>36050</v>
      </c>
      <c r="E60" s="14">
        <f t="shared" si="11"/>
        <v>37131.5</v>
      </c>
      <c r="F60" s="14">
        <f t="shared" si="11"/>
        <v>38245.445</v>
      </c>
      <c r="G60" s="14">
        <f t="shared" si="11"/>
        <v>39392.808349999999</v>
      </c>
    </row>
    <row r="61" spans="2:7">
      <c r="B61" s="4" t="str">
        <f t="shared" si="9"/>
        <v>Scheduling Staff</v>
      </c>
      <c r="C61" s="14">
        <f t="shared" si="9"/>
        <v>30000</v>
      </c>
      <c r="D61" s="14">
        <f t="shared" ref="D61:G61" si="12">C61*(1+$C$53)</f>
        <v>30900</v>
      </c>
      <c r="E61" s="14">
        <f t="shared" si="12"/>
        <v>31827</v>
      </c>
      <c r="F61" s="14">
        <f t="shared" si="12"/>
        <v>32781.81</v>
      </c>
      <c r="G61" s="14">
        <f t="shared" si="12"/>
        <v>33765.264299999995</v>
      </c>
    </row>
    <row r="62" spans="2:7">
      <c r="B62" s="4" t="str">
        <f t="shared" si="9"/>
        <v>Administrative Staff</v>
      </c>
      <c r="C62" s="14">
        <f t="shared" si="9"/>
        <v>37500</v>
      </c>
      <c r="D62" s="14">
        <f t="shared" ref="D62:G62" si="13">C62*(1+$C$53)</f>
        <v>38625</v>
      </c>
      <c r="E62" s="14">
        <f t="shared" si="13"/>
        <v>39783.75</v>
      </c>
      <c r="F62" s="14">
        <f t="shared" si="13"/>
        <v>40977.262500000004</v>
      </c>
      <c r="G62" s="14">
        <f t="shared" si="13"/>
        <v>42206.580375000005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N32" sqref="N32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130</v>
      </c>
      <c r="E6" s="6">
        <v>7500</v>
      </c>
    </row>
    <row r="7" spans="4:5">
      <c r="D7" s="21" t="s">
        <v>131</v>
      </c>
      <c r="E7" s="6">
        <v>10000</v>
      </c>
    </row>
    <row r="8" spans="4:5">
      <c r="D8" s="21" t="s">
        <v>137</v>
      </c>
      <c r="E8" s="6">
        <v>5000</v>
      </c>
    </row>
    <row r="9" spans="4:5">
      <c r="D9" s="21" t="s">
        <v>138</v>
      </c>
      <c r="E9" s="6">
        <v>3500</v>
      </c>
    </row>
    <row r="10" spans="4:5">
      <c r="D10" s="21" t="s">
        <v>139</v>
      </c>
      <c r="E10" s="6">
        <v>35000</v>
      </c>
    </row>
    <row r="11" spans="4:5">
      <c r="D11" s="21" t="s">
        <v>0</v>
      </c>
      <c r="E11" s="6">
        <v>29000</v>
      </c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90000</v>
      </c>
    </row>
    <row r="20" spans="4:5">
      <c r="D20" s="7" t="s">
        <v>97</v>
      </c>
      <c r="E20" s="3"/>
    </row>
    <row r="21" spans="4:5">
      <c r="D21" s="4" t="s">
        <v>98</v>
      </c>
      <c r="E21" s="14">
        <v>15000</v>
      </c>
    </row>
    <row r="22" spans="4:5">
      <c r="D22" s="4" t="s">
        <v>136</v>
      </c>
      <c r="E22" s="14">
        <v>75000</v>
      </c>
    </row>
    <row r="23" spans="4:5">
      <c r="D23" s="4" t="s">
        <v>99</v>
      </c>
      <c r="E23" s="14">
        <f>SUM(E21:E22)</f>
        <v>90000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A4:U46"/>
  <sheetViews>
    <sheetView showGridLines="0" topLeftCell="A2" workbookViewId="0">
      <selection activeCell="U15" sqref="U14:U15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542970</v>
      </c>
      <c r="F6" s="69">
        <f>'Revenue Overview'!G16</f>
        <v>597267</v>
      </c>
      <c r="G6" s="81">
        <f>'Revenue Overview'!H16</f>
        <v>656993.70000000007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27148.5</v>
      </c>
      <c r="F7" s="71">
        <f>'Revenue Overview'!G31</f>
        <v>29863.35</v>
      </c>
      <c r="G7" s="80">
        <f>'Revenue Overview'!H31</f>
        <v>32849.685000000005</v>
      </c>
      <c r="H7" s="136"/>
      <c r="I7" s="136"/>
      <c r="J7" s="115"/>
      <c r="K7" s="112" t="s">
        <v>51</v>
      </c>
      <c r="L7" s="114">
        <f>E6</f>
        <v>542970</v>
      </c>
      <c r="M7" s="114">
        <f>F6</f>
        <v>597267</v>
      </c>
      <c r="N7" s="114">
        <f>G6</f>
        <v>656993.70000000007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3">
        <f t="shared" si="0"/>
        <v>0.95</v>
      </c>
      <c r="H8" s="138"/>
      <c r="I8" s="138"/>
      <c r="J8" s="115"/>
      <c r="K8" s="112" t="s">
        <v>76</v>
      </c>
      <c r="L8" s="114">
        <f>E6</f>
        <v>542970</v>
      </c>
      <c r="M8" s="114">
        <f>F6</f>
        <v>597267</v>
      </c>
      <c r="N8" s="114">
        <f>G6</f>
        <v>656993.70000000007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515821.5</v>
      </c>
      <c r="F10" s="76">
        <f t="shared" ref="F10:G10" si="1">F6-F7</f>
        <v>567403.65</v>
      </c>
      <c r="G10" s="84">
        <f t="shared" si="1"/>
        <v>624144.01500000001</v>
      </c>
      <c r="H10" s="135"/>
      <c r="I10" s="135"/>
      <c r="J10" s="115"/>
      <c r="K10" s="112" t="s">
        <v>47</v>
      </c>
      <c r="L10" s="114">
        <f>E23</f>
        <v>137093.83699999994</v>
      </c>
      <c r="M10" s="114">
        <f>F23</f>
        <v>174654.17819999997</v>
      </c>
      <c r="N10" s="114">
        <f>G23</f>
        <v>216428.72224500001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137093.83699999994</v>
      </c>
      <c r="M11" s="114">
        <f t="shared" ref="M11:N11" si="2">M10</f>
        <v>174654.17819999997</v>
      </c>
      <c r="N11" s="114">
        <f t="shared" si="2"/>
        <v>216428.72224500001</v>
      </c>
      <c r="O11" s="114"/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302500</v>
      </c>
      <c r="F13" s="78">
        <f>'Personnel - Editable'!I16</f>
        <v>311575</v>
      </c>
      <c r="G13" s="78">
        <f>'Personnel - Editable'!J16</f>
        <v>320922.25</v>
      </c>
      <c r="H13" s="136"/>
      <c r="I13" s="136"/>
      <c r="J13" s="115"/>
      <c r="K13" s="112" t="s">
        <v>75</v>
      </c>
      <c r="L13" s="114">
        <f>E21</f>
        <v>378727.66300000006</v>
      </c>
      <c r="M13" s="114">
        <f>F21</f>
        <v>392749.47180000006</v>
      </c>
      <c r="N13" s="114">
        <f>G21</f>
        <v>407715.292755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17501</v>
      </c>
      <c r="F14" s="80">
        <f>Inputs!D18</f>
        <v>18026.03</v>
      </c>
      <c r="G14" s="80">
        <f>Inputs!E18</f>
        <v>18566.8109</v>
      </c>
      <c r="H14" s="136"/>
      <c r="I14" s="136"/>
      <c r="J14" s="115"/>
      <c r="K14" s="112" t="s">
        <v>78</v>
      </c>
      <c r="L14" s="114">
        <f>E21</f>
        <v>378727.66300000006</v>
      </c>
      <c r="M14" s="114">
        <f>F21</f>
        <v>392749.47180000006</v>
      </c>
      <c r="N14" s="114">
        <f>G21</f>
        <v>407715.292755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8524.628999999999</v>
      </c>
      <c r="F15" s="78">
        <f>Inputs!D19</f>
        <v>9377.0918999999994</v>
      </c>
      <c r="G15" s="78">
        <f>Inputs!E19</f>
        <v>10314.801090000001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8253.1440000000002</v>
      </c>
      <c r="F16" s="80">
        <f>Inputs!D20</f>
        <v>9078.4583999999995</v>
      </c>
      <c r="G16" s="80">
        <f>Inputs!E20</f>
        <v>9986.3042400000013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1:21">
      <c r="D17" s="106" t="str">
        <f>Inputs!B21</f>
        <v>Insurance Costs</v>
      </c>
      <c r="E17" s="78">
        <f>Inputs!C21</f>
        <v>9075</v>
      </c>
      <c r="F17" s="78">
        <f>Inputs!D21</f>
        <v>9347.25</v>
      </c>
      <c r="G17" s="78">
        <f>Inputs!E21</f>
        <v>9627.6674999999996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1:21">
      <c r="D18" s="79" t="str">
        <f>Inputs!B22</f>
        <v>Marketing</v>
      </c>
      <c r="E18" s="80">
        <f>Inputs!C22</f>
        <v>6515.64</v>
      </c>
      <c r="F18" s="80">
        <f>Inputs!D22</f>
        <v>7167.2039999999997</v>
      </c>
      <c r="G18" s="80">
        <f>Inputs!E22</f>
        <v>7883.9244000000008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1:21">
      <c r="D19" s="106" t="str">
        <f>Inputs!B23</f>
        <v>Professional Fees and Licensure</v>
      </c>
      <c r="E19" s="78">
        <f>Inputs!C23</f>
        <v>3217</v>
      </c>
      <c r="F19" s="78">
        <f>Inputs!D23</f>
        <v>4342.9500000000007</v>
      </c>
      <c r="G19" s="78">
        <f>Inputs!E23</f>
        <v>5862.982500000001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1:21">
      <c r="D20" s="79" t="s">
        <v>14</v>
      </c>
      <c r="E20" s="80">
        <f>E13*'Tax Assumptions '!F9</f>
        <v>23141.25</v>
      </c>
      <c r="F20" s="80">
        <f>F13*'Tax Assumptions '!G9</f>
        <v>23835.487499999999</v>
      </c>
      <c r="G20" s="80">
        <f>G13*'Tax Assumptions '!H9</f>
        <v>24550.552124999998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1:21">
      <c r="D21" s="68" t="s">
        <v>75</v>
      </c>
      <c r="E21" s="81">
        <f>SUM(E13:E20)</f>
        <v>378727.66300000006</v>
      </c>
      <c r="F21" s="81">
        <f t="shared" ref="F21:G21" si="3">SUM(F13:F20)</f>
        <v>392749.47180000006</v>
      </c>
      <c r="G21" s="81">
        <f t="shared" si="3"/>
        <v>407715.292755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1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1:21">
      <c r="D23" s="82" t="s">
        <v>47</v>
      </c>
      <c r="E23" s="83">
        <f>E10-E21</f>
        <v>137093.83699999994</v>
      </c>
      <c r="F23" s="83">
        <f t="shared" ref="F23:G23" si="4">F10-F21</f>
        <v>174654.17819999997</v>
      </c>
      <c r="G23" s="83">
        <f t="shared" si="4"/>
        <v>216428.72224500001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1:21">
      <c r="D24" s="72" t="s">
        <v>15</v>
      </c>
      <c r="E24" s="78">
        <f>(E23-E26-E27)*'Tax Assumptions '!F7</f>
        <v>31235.140345684005</v>
      </c>
      <c r="F24" s="78">
        <f>(F23-F26-F27)*'Tax Assumptions '!G7</f>
        <v>40738.90891215</v>
      </c>
      <c r="G24" s="78">
        <f>(G23-G26-G27)*'Tax Assumptions '!H7</f>
        <v>51306.892464410288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1:21">
      <c r="D25" s="70" t="s">
        <v>101</v>
      </c>
      <c r="E25" s="80">
        <f>(E23-E26-E27)*'Tax Assumptions '!F8</f>
        <v>6247.0280691368016</v>
      </c>
      <c r="F25" s="80">
        <f>(F23-F26-F27)*'Tax Assumptions '!G8</f>
        <v>8147.78178243</v>
      </c>
      <c r="G25" s="80">
        <f>(G23-G26-G27)*'Tax Assumptions '!H8</f>
        <v>10261.378492882059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1:21">
      <c r="D26" s="72" t="s">
        <v>16</v>
      </c>
      <c r="E26" s="78">
        <f>SUM('Loan Amortization Table'!D14:D25)</f>
        <v>6553.2756172639274</v>
      </c>
      <c r="F26" s="78">
        <f>SUM('Loan Amortization Table'!D26:D37)</f>
        <v>6098.5425513999517</v>
      </c>
      <c r="G26" s="78">
        <f>SUM('Loan Amortization Table'!D38:D49)</f>
        <v>5601.1523873588603</v>
      </c>
      <c r="H26" s="127"/>
      <c r="I26" s="127"/>
    </row>
    <row r="27" spans="1:21">
      <c r="A27" s="112" t="s">
        <v>140</v>
      </c>
      <c r="D27" s="70" t="s">
        <v>54</v>
      </c>
      <c r="E27" s="80">
        <v>5600</v>
      </c>
      <c r="F27" s="80">
        <v>5600</v>
      </c>
      <c r="G27" s="80">
        <v>5600</v>
      </c>
      <c r="H27" s="127"/>
      <c r="I27" s="127"/>
    </row>
    <row r="28" spans="1:21">
      <c r="D28" s="82" t="s">
        <v>17</v>
      </c>
      <c r="E28" s="83">
        <f>E23-SUM(E24:E27)</f>
        <v>87458.392967915206</v>
      </c>
      <c r="F28" s="83">
        <f t="shared" ref="F28:G28" si="5">F23-SUM(F24:F27)</f>
        <v>114068.94495402001</v>
      </c>
      <c r="G28" s="83">
        <f t="shared" si="5"/>
        <v>143659.2989003488</v>
      </c>
      <c r="H28" s="131"/>
      <c r="I28" s="131"/>
    </row>
    <row r="30" spans="1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1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1:21">
      <c r="D32" s="68" t="s">
        <v>51</v>
      </c>
      <c r="E32" s="69">
        <f>E6</f>
        <v>542970</v>
      </c>
      <c r="F32" s="69">
        <f t="shared" ref="F32:G32" si="6">F6</f>
        <v>597267</v>
      </c>
      <c r="G32" s="81">
        <f t="shared" si="6"/>
        <v>656993.70000000007</v>
      </c>
      <c r="H32" s="131"/>
      <c r="I32" s="131"/>
    </row>
    <row r="33" spans="4:13">
      <c r="D33" s="70" t="s">
        <v>52</v>
      </c>
      <c r="E33" s="71">
        <f>E7</f>
        <v>27148.5</v>
      </c>
      <c r="F33" s="71">
        <f t="shared" ref="F33:G33" si="7">F7</f>
        <v>29863.35</v>
      </c>
      <c r="G33" s="80">
        <f t="shared" si="7"/>
        <v>32849.685000000005</v>
      </c>
      <c r="H33" s="127"/>
      <c r="I33" s="127"/>
    </row>
    <row r="34" spans="4:13">
      <c r="D34" s="68" t="s">
        <v>10</v>
      </c>
      <c r="E34" s="69">
        <f>E10</f>
        <v>515821.5</v>
      </c>
      <c r="F34" s="69">
        <f t="shared" ref="F34:G34" si="8">F10</f>
        <v>567403.65</v>
      </c>
      <c r="G34" s="81">
        <f t="shared" si="8"/>
        <v>624144.01500000001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378727.66300000006</v>
      </c>
      <c r="F35" s="84">
        <f t="shared" ref="F35:G35" si="9">F21</f>
        <v>392749.47180000006</v>
      </c>
      <c r="G35" s="84">
        <f t="shared" si="9"/>
        <v>407715.292755</v>
      </c>
      <c r="H35" s="131"/>
      <c r="I35" s="131"/>
    </row>
    <row r="36" spans="4:13">
      <c r="D36" s="82" t="s">
        <v>47</v>
      </c>
      <c r="E36" s="83">
        <f>E23</f>
        <v>137093.83699999994</v>
      </c>
      <c r="F36" s="83">
        <f t="shared" ref="F36:G36" si="10">F23</f>
        <v>174654.17819999997</v>
      </c>
      <c r="G36" s="83">
        <f t="shared" si="10"/>
        <v>216428.72224500001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V9" sqref="V9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93058.392967915206</v>
      </c>
      <c r="F6" s="81">
        <f>'Profit and Loss Statement'!F28+'Profit and Loss Statement'!F27</f>
        <v>119668.94495402001</v>
      </c>
      <c r="G6" s="81">
        <f>'Profit and Loss Statement'!G28+'Profit and Loss Statement'!G27</f>
        <v>149259.2989003488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15000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75000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7510</v>
      </c>
      <c r="F11" s="78">
        <f>E11*1.02</f>
        <v>7660.2</v>
      </c>
      <c r="G11" s="78">
        <f>F11*1.02</f>
        <v>7813.4039999999995</v>
      </c>
      <c r="H11" s="127"/>
      <c r="I11" s="127"/>
    </row>
    <row r="12" spans="4:9">
      <c r="D12" s="75" t="s">
        <v>23</v>
      </c>
      <c r="E12" s="89">
        <f>SUM(E9:E11)</f>
        <v>97510</v>
      </c>
      <c r="F12" s="89">
        <f t="shared" ref="F12:G12" si="0">SUM(F9:F11)</f>
        <v>7660.2</v>
      </c>
      <c r="G12" s="89">
        <f t="shared" si="0"/>
        <v>7813.4039999999995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190568.39296791522</v>
      </c>
      <c r="F15" s="90">
        <f t="shared" ref="F15:G15" si="1">F12+F6</f>
        <v>127329.14495402001</v>
      </c>
      <c r="G15" s="90">
        <f t="shared" si="1"/>
        <v>157072.70290034881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4847.5440202585251</v>
      </c>
      <c r="F18" s="80">
        <f>SUM('Loan Amortization Table'!C26:C37)</f>
        <v>5302.2770861225017</v>
      </c>
      <c r="G18" s="80">
        <f>SUM('Loan Amortization Table'!C38:C49)</f>
        <v>5799.6672501635931</v>
      </c>
      <c r="H18" s="127"/>
      <c r="I18" s="127"/>
    </row>
    <row r="19" spans="4:9">
      <c r="D19" s="72" t="s">
        <v>25</v>
      </c>
      <c r="E19" s="78">
        <f>E11*0.7</f>
        <v>5257</v>
      </c>
      <c r="F19" s="78">
        <f t="shared" ref="F19:G19" si="2">F11*0.7</f>
        <v>5362.1399999999994</v>
      </c>
      <c r="G19" s="78">
        <f t="shared" si="2"/>
        <v>5469.3827999999994</v>
      </c>
      <c r="H19" s="127"/>
      <c r="I19" s="127"/>
    </row>
    <row r="20" spans="4:9">
      <c r="D20" s="70" t="s">
        <v>33</v>
      </c>
      <c r="E20" s="80">
        <f>'Use of Funds'!E6+'Use of Funds'!E7+'Use of Funds'!E9+'Use of Funds'!E10</f>
        <v>56000</v>
      </c>
      <c r="F20" s="80">
        <v>0</v>
      </c>
      <c r="G20" s="80">
        <v>0</v>
      </c>
      <c r="H20" s="127"/>
      <c r="I20" s="127"/>
    </row>
    <row r="21" spans="4:9">
      <c r="D21" s="72" t="s">
        <v>32</v>
      </c>
      <c r="E21" s="78">
        <f>E6*0.7</f>
        <v>65140.875077540637</v>
      </c>
      <c r="F21" s="78">
        <f t="shared" ref="F21:G21" si="3">F6*0.7</f>
        <v>83768.261467814009</v>
      </c>
      <c r="G21" s="78">
        <f t="shared" si="3"/>
        <v>104481.50923024416</v>
      </c>
      <c r="H21" s="127"/>
      <c r="I21" s="127"/>
    </row>
    <row r="22" spans="4:9">
      <c r="D22" s="75" t="s">
        <v>26</v>
      </c>
      <c r="E22" s="84">
        <f>SUM(E18:E21)</f>
        <v>131245.41909779917</v>
      </c>
      <c r="F22" s="84">
        <f t="shared" ref="F22:G22" si="4">SUM(F18:F21)</f>
        <v>94432.678553936508</v>
      </c>
      <c r="G22" s="84">
        <f t="shared" si="4"/>
        <v>115750.55928040776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59322.973870116053</v>
      </c>
      <c r="F24" s="91">
        <f t="shared" ref="F24:G24" si="5">F15-F22</f>
        <v>32896.466400083504</v>
      </c>
      <c r="G24" s="91">
        <f t="shared" si="5"/>
        <v>41322.143619941053</v>
      </c>
      <c r="H24" s="132"/>
      <c r="I24" s="132"/>
    </row>
    <row r="25" spans="4:9">
      <c r="D25" s="82" t="s">
        <v>6</v>
      </c>
      <c r="E25" s="91">
        <f>E24</f>
        <v>59322.973870116053</v>
      </c>
      <c r="F25" s="91">
        <f>E25+F24</f>
        <v>92219.440270199557</v>
      </c>
      <c r="G25" s="91">
        <f>F25+G24</f>
        <v>133541.58389014061</v>
      </c>
      <c r="H25" s="132"/>
      <c r="I25" s="132"/>
    </row>
    <row r="28" spans="4:9">
      <c r="D28" s="112" t="s">
        <v>79</v>
      </c>
      <c r="E28" s="114">
        <f>E6</f>
        <v>93058.392967915206</v>
      </c>
      <c r="F28" s="114">
        <f t="shared" ref="F28:G28" si="6">F6</f>
        <v>119668.94495402001</v>
      </c>
      <c r="G28" s="114">
        <f t="shared" si="6"/>
        <v>149259.2989003488</v>
      </c>
      <c r="H28" s="1"/>
      <c r="I28" s="1"/>
    </row>
    <row r="29" spans="4:9">
      <c r="D29" s="112" t="s">
        <v>80</v>
      </c>
      <c r="E29" s="114">
        <f>E18</f>
        <v>4847.5440202585251</v>
      </c>
      <c r="F29" s="114">
        <f t="shared" ref="F29:G29" si="7">F18</f>
        <v>5302.2770861225017</v>
      </c>
      <c r="G29" s="114">
        <f t="shared" si="7"/>
        <v>5799.6672501635931</v>
      </c>
      <c r="H29" s="1"/>
      <c r="I29" s="1"/>
    </row>
    <row r="30" spans="4:9">
      <c r="D30" s="112" t="s">
        <v>81</v>
      </c>
      <c r="E30" s="114">
        <f>E21</f>
        <v>65140.875077540637</v>
      </c>
      <c r="F30" s="114">
        <f t="shared" ref="F30:G30" si="8">F21</f>
        <v>83768.261467814009</v>
      </c>
      <c r="G30" s="114">
        <f t="shared" si="8"/>
        <v>104481.50923024416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W12" sqref="W12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59322.973870116053</v>
      </c>
      <c r="F7" s="78">
        <f>'Cash Flow Analysis'!F25</f>
        <v>92219.440270199557</v>
      </c>
      <c r="G7" s="78">
        <f>'Cash Flow Analysis'!G25</f>
        <v>133541.58389014061</v>
      </c>
      <c r="H7" s="127"/>
      <c r="I7" s="127"/>
    </row>
    <row r="8" spans="4:9">
      <c r="D8" s="66" t="s">
        <v>127</v>
      </c>
      <c r="E8" s="94">
        <f>'Cash Flow Analysis'!E20</f>
        <v>56000</v>
      </c>
      <c r="F8" s="94">
        <f>E8+'Cash Flow Analysis'!F20</f>
        <v>56000</v>
      </c>
      <c r="G8" s="94">
        <f>F8+'Cash Flow Analysis'!G20</f>
        <v>56000</v>
      </c>
      <c r="H8" s="127"/>
      <c r="I8" s="127"/>
    </row>
    <row r="9" spans="4:9">
      <c r="D9" s="72" t="s">
        <v>48</v>
      </c>
      <c r="E9" s="87">
        <f>-'Profit and Loss Statement'!E27</f>
        <v>-5600</v>
      </c>
      <c r="F9" s="87">
        <f>E9-'Profit and Loss Statement'!F27</f>
        <v>-11200</v>
      </c>
      <c r="G9" s="87">
        <f>F9-'Profit and Loss Statement'!G27</f>
        <v>-16800</v>
      </c>
      <c r="H9" s="130"/>
      <c r="I9" s="130"/>
    </row>
    <row r="10" spans="4:9">
      <c r="D10" s="95" t="s">
        <v>7</v>
      </c>
      <c r="E10" s="96">
        <f>SUM(E7:E9)</f>
        <v>109722.97387011605</v>
      </c>
      <c r="F10" s="96">
        <f t="shared" ref="F10:G10" si="0">SUM(F7:F9)</f>
        <v>137019.44027019956</v>
      </c>
      <c r="G10" s="96">
        <f t="shared" si="0"/>
        <v>172741.58389014061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2253</v>
      </c>
      <c r="F13" s="78">
        <f>E13+('Cash Flow Analysis'!F11-'Cash Flow Analysis'!F19)</f>
        <v>4551.0600000000004</v>
      </c>
      <c r="G13" s="78">
        <f>F13+('Cash Flow Analysis'!G11-'Cash Flow Analysis'!G19)</f>
        <v>6895.0812000000005</v>
      </c>
      <c r="H13" s="127"/>
      <c r="I13" s="127"/>
    </row>
    <row r="14" spans="4:9">
      <c r="D14" s="66" t="s">
        <v>73</v>
      </c>
      <c r="E14" s="94">
        <f>'Loan Amortization Table'!E25</f>
        <v>70152.455979741499</v>
      </c>
      <c r="F14" s="94">
        <f>'Loan Amortization Table'!E37</f>
        <v>64850.178893618991</v>
      </c>
      <c r="G14" s="94">
        <f>'Loan Amortization Table'!E49</f>
        <v>59050.5116434554</v>
      </c>
      <c r="H14" s="127"/>
      <c r="I14" s="127"/>
    </row>
    <row r="15" spans="4:9">
      <c r="D15" s="68" t="s">
        <v>30</v>
      </c>
      <c r="E15" s="81">
        <f>SUM(E13:E14)</f>
        <v>72405.455979741499</v>
      </c>
      <c r="F15" s="81">
        <f t="shared" ref="F15:G15" si="1">SUM(F13:F14)</f>
        <v>69401.238893618996</v>
      </c>
      <c r="G15" s="81">
        <f t="shared" si="1"/>
        <v>65945.592843455408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37317.517890374555</v>
      </c>
      <c r="F17" s="83">
        <f t="shared" ref="F17:G17" si="2">F10-F15</f>
        <v>67618.20137658056</v>
      </c>
      <c r="G17" s="83">
        <f t="shared" si="2"/>
        <v>106795.9910466852</v>
      </c>
      <c r="H17" s="131"/>
      <c r="I17" s="131"/>
    </row>
    <row r="18" spans="4:9">
      <c r="D18" s="82" t="s">
        <v>31</v>
      </c>
      <c r="E18" s="83">
        <f>E15+E17</f>
        <v>109722.97387011605</v>
      </c>
      <c r="F18" s="83">
        <f t="shared" ref="F18:G18" si="3">F15+F17</f>
        <v>137019.44027019956</v>
      </c>
      <c r="G18" s="83">
        <f t="shared" si="3"/>
        <v>172741.58389014061</v>
      </c>
      <c r="H18" s="131"/>
      <c r="I18" s="131"/>
    </row>
    <row r="21" spans="4:9">
      <c r="D21" s="112" t="s">
        <v>82</v>
      </c>
      <c r="E21" s="114">
        <f>E10-1</f>
        <v>109721.97387011605</v>
      </c>
      <c r="F21" s="114">
        <f t="shared" ref="F21:G21" si="4">F10-1</f>
        <v>137018.44027019956</v>
      </c>
      <c r="G21" s="114">
        <f t="shared" si="4"/>
        <v>172740.58389014061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72405.455979741499</v>
      </c>
      <c r="F22" s="114">
        <f t="shared" ref="F22:G22" si="6">F15</f>
        <v>69401.238893618996</v>
      </c>
      <c r="G22" s="114">
        <f t="shared" si="6"/>
        <v>65945.592843455408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37317.517890374555</v>
      </c>
      <c r="F23" s="114">
        <f t="shared" ref="F23:G23" si="8">F17</f>
        <v>67618.20137658056</v>
      </c>
      <c r="G23" s="114">
        <f t="shared" si="8"/>
        <v>106795.9910466852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S168"/>
  <sheetViews>
    <sheetView showGridLines="0" workbookViewId="0">
      <selection activeCell="U10" sqref="U10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45000</v>
      </c>
      <c r="D6" s="6">
        <f>Inputs!D42</f>
        <v>45045</v>
      </c>
      <c r="E6" s="6">
        <f>Inputs!E42</f>
        <v>45090</v>
      </c>
      <c r="F6" s="6">
        <f>Inputs!F42</f>
        <v>45135</v>
      </c>
      <c r="G6" s="6">
        <f>Inputs!G42</f>
        <v>45180</v>
      </c>
      <c r="H6" s="6">
        <f>Inputs!H42</f>
        <v>45225</v>
      </c>
      <c r="I6" s="6">
        <f>Inputs!I42</f>
        <v>45270</v>
      </c>
    </row>
    <row r="7" spans="2:9">
      <c r="B7" s="31" t="s">
        <v>52</v>
      </c>
      <c r="C7" s="6">
        <f>Inputs!C61</f>
        <v>2250</v>
      </c>
      <c r="D7" s="6">
        <f>Inputs!D61</f>
        <v>2252.25</v>
      </c>
      <c r="E7" s="6">
        <f>Inputs!E61</f>
        <v>2254.5</v>
      </c>
      <c r="F7" s="6">
        <f>Inputs!F61</f>
        <v>2256.75</v>
      </c>
      <c r="G7" s="6">
        <f>Inputs!G61</f>
        <v>2259</v>
      </c>
      <c r="H7" s="6">
        <f>Inputs!H61</f>
        <v>2261.25</v>
      </c>
      <c r="I7" s="6">
        <f>Inputs!I61</f>
        <v>2263.5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42750</v>
      </c>
      <c r="D10" s="6">
        <f t="shared" ref="D10:I10" si="2">D6-D7</f>
        <v>42792.75</v>
      </c>
      <c r="E10" s="6">
        <f t="shared" si="2"/>
        <v>42835.5</v>
      </c>
      <c r="F10" s="6">
        <f t="shared" si="2"/>
        <v>42878.25</v>
      </c>
      <c r="G10" s="6">
        <f t="shared" si="2"/>
        <v>42921</v>
      </c>
      <c r="H10" s="6">
        <f t="shared" si="2"/>
        <v>42963.75</v>
      </c>
      <c r="I10" s="6">
        <f t="shared" si="2"/>
        <v>43006.5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25208.333333333332</v>
      </c>
      <c r="D13" s="6">
        <f t="shared" ref="D13:I13" si="3">$H$41/12</f>
        <v>25208.333333333332</v>
      </c>
      <c r="E13" s="6">
        <f t="shared" si="3"/>
        <v>25208.333333333332</v>
      </c>
      <c r="F13" s="6">
        <f t="shared" si="3"/>
        <v>25208.333333333332</v>
      </c>
      <c r="G13" s="6">
        <f t="shared" si="3"/>
        <v>25208.333333333332</v>
      </c>
      <c r="H13" s="6">
        <f t="shared" si="3"/>
        <v>25208.333333333332</v>
      </c>
      <c r="I13" s="6">
        <f t="shared" si="3"/>
        <v>25208.333333333332</v>
      </c>
    </row>
    <row r="14" spans="2:9">
      <c r="B14" s="33" t="str">
        <f>'Profit and Loss Statement'!D14</f>
        <v>Facility Costs</v>
      </c>
      <c r="C14" s="6">
        <f>$H$42/12</f>
        <v>1458.4166666666667</v>
      </c>
      <c r="D14" s="6">
        <f t="shared" ref="D14:I14" si="4">$H$42/12</f>
        <v>1458.4166666666667</v>
      </c>
      <c r="E14" s="6">
        <f t="shared" si="4"/>
        <v>1458.4166666666667</v>
      </c>
      <c r="F14" s="6">
        <f t="shared" si="4"/>
        <v>1458.4166666666667</v>
      </c>
      <c r="G14" s="6">
        <f t="shared" si="4"/>
        <v>1458.4166666666667</v>
      </c>
      <c r="H14" s="6">
        <f t="shared" si="4"/>
        <v>1458.4166666666667</v>
      </c>
      <c r="I14" s="6">
        <f t="shared" si="4"/>
        <v>1458.4166666666667</v>
      </c>
    </row>
    <row r="15" spans="2:9">
      <c r="B15" s="33" t="str">
        <f>'Profit and Loss Statement'!D15</f>
        <v>General and Administrative</v>
      </c>
      <c r="C15" s="6">
        <f>$H$43/12</f>
        <v>710.38574999999992</v>
      </c>
      <c r="D15" s="6">
        <f t="shared" ref="D15:I15" si="5">$H$43/12</f>
        <v>710.38574999999992</v>
      </c>
      <c r="E15" s="6">
        <f t="shared" si="5"/>
        <v>710.38574999999992</v>
      </c>
      <c r="F15" s="6">
        <f t="shared" si="5"/>
        <v>710.38574999999992</v>
      </c>
      <c r="G15" s="6">
        <f t="shared" si="5"/>
        <v>710.38574999999992</v>
      </c>
      <c r="H15" s="6">
        <f t="shared" si="5"/>
        <v>710.38574999999992</v>
      </c>
      <c r="I15" s="6">
        <f t="shared" si="5"/>
        <v>710.38574999999992</v>
      </c>
    </row>
    <row r="16" spans="2:9">
      <c r="B16" s="33" t="str">
        <f>'Profit and Loss Statement'!D16</f>
        <v>Equipment Costs</v>
      </c>
      <c r="C16" s="6">
        <f>$H$44/12</f>
        <v>687.76200000000006</v>
      </c>
      <c r="D16" s="6">
        <f t="shared" ref="D16:I16" si="6">$H$44/12</f>
        <v>687.76200000000006</v>
      </c>
      <c r="E16" s="6">
        <f t="shared" si="6"/>
        <v>687.76200000000006</v>
      </c>
      <c r="F16" s="6">
        <f t="shared" si="6"/>
        <v>687.76200000000006</v>
      </c>
      <c r="G16" s="6">
        <f t="shared" si="6"/>
        <v>687.76200000000006</v>
      </c>
      <c r="H16" s="6">
        <f t="shared" si="6"/>
        <v>687.76200000000006</v>
      </c>
      <c r="I16" s="6">
        <f t="shared" si="6"/>
        <v>687.76200000000006</v>
      </c>
    </row>
    <row r="17" spans="2:9">
      <c r="B17" s="33" t="str">
        <f>'Profit and Loss Statement'!D17</f>
        <v>Insurance Costs</v>
      </c>
      <c r="C17" s="6">
        <f>$H$45/12</f>
        <v>756.25</v>
      </c>
      <c r="D17" s="6">
        <f t="shared" ref="D17:I17" si="7">$H$45/12</f>
        <v>756.25</v>
      </c>
      <c r="E17" s="6">
        <f t="shared" si="7"/>
        <v>756.25</v>
      </c>
      <c r="F17" s="6">
        <f t="shared" si="7"/>
        <v>756.25</v>
      </c>
      <c r="G17" s="6">
        <f t="shared" si="7"/>
        <v>756.25</v>
      </c>
      <c r="H17" s="6">
        <f t="shared" si="7"/>
        <v>756.25</v>
      </c>
      <c r="I17" s="6">
        <f t="shared" si="7"/>
        <v>756.25</v>
      </c>
    </row>
    <row r="18" spans="2:9">
      <c r="B18" s="33" t="str">
        <f>'Profit and Loss Statement'!D18</f>
        <v>Marketing</v>
      </c>
      <c r="C18" s="6">
        <f>$H$46/12</f>
        <v>542.97</v>
      </c>
      <c r="D18" s="6">
        <f t="shared" ref="D18:I18" si="8">$H$46/12</f>
        <v>542.97</v>
      </c>
      <c r="E18" s="6">
        <f t="shared" si="8"/>
        <v>542.97</v>
      </c>
      <c r="F18" s="6">
        <f t="shared" si="8"/>
        <v>542.97</v>
      </c>
      <c r="G18" s="6">
        <f t="shared" si="8"/>
        <v>542.97</v>
      </c>
      <c r="H18" s="6">
        <f t="shared" si="8"/>
        <v>542.97</v>
      </c>
      <c r="I18" s="6">
        <f t="shared" si="8"/>
        <v>542.97</v>
      </c>
    </row>
    <row r="19" spans="2:9">
      <c r="B19" s="33" t="str">
        <f>'Profit and Loss Statement'!D19</f>
        <v>Professional Fees and Licensure</v>
      </c>
      <c r="C19" s="6">
        <f>$H$47/12</f>
        <v>268.08333333333331</v>
      </c>
      <c r="D19" s="6">
        <f t="shared" ref="D19:I19" si="9">$H$47/12</f>
        <v>268.08333333333331</v>
      </c>
      <c r="E19" s="6">
        <f t="shared" si="9"/>
        <v>268.08333333333331</v>
      </c>
      <c r="F19" s="6">
        <f t="shared" si="9"/>
        <v>268.08333333333331</v>
      </c>
      <c r="G19" s="6">
        <f t="shared" si="9"/>
        <v>268.08333333333331</v>
      </c>
      <c r="H19" s="6">
        <f t="shared" si="9"/>
        <v>268.08333333333331</v>
      </c>
      <c r="I19" s="6">
        <f t="shared" si="9"/>
        <v>268.08333333333331</v>
      </c>
    </row>
    <row r="20" spans="2:9">
      <c r="B20" s="29" t="s">
        <v>14</v>
      </c>
      <c r="C20" s="6">
        <f>$H$48/12</f>
        <v>1928.4375</v>
      </c>
      <c r="D20" s="6">
        <f t="shared" ref="D20:I20" si="10">$H$48/12</f>
        <v>1928.4375</v>
      </c>
      <c r="E20" s="6">
        <f t="shared" si="10"/>
        <v>1928.4375</v>
      </c>
      <c r="F20" s="6">
        <f t="shared" si="10"/>
        <v>1928.4375</v>
      </c>
      <c r="G20" s="6">
        <f t="shared" si="10"/>
        <v>1928.4375</v>
      </c>
      <c r="H20" s="6">
        <f t="shared" si="10"/>
        <v>1928.4375</v>
      </c>
      <c r="I20" s="6">
        <f t="shared" si="10"/>
        <v>1928.4375</v>
      </c>
    </row>
    <row r="21" spans="2:9">
      <c r="B21" s="28" t="s">
        <v>8</v>
      </c>
      <c r="C21" s="6">
        <f>SUM(C13:C20)</f>
        <v>31560.638583333333</v>
      </c>
      <c r="D21" s="6">
        <f t="shared" ref="D21:I21" si="11">SUM(D13:D20)</f>
        <v>31560.638583333333</v>
      </c>
      <c r="E21" s="6">
        <f t="shared" si="11"/>
        <v>31560.638583333333</v>
      </c>
      <c r="F21" s="6">
        <f t="shared" si="11"/>
        <v>31560.638583333333</v>
      </c>
      <c r="G21" s="6">
        <f t="shared" si="11"/>
        <v>31560.638583333333</v>
      </c>
      <c r="H21" s="6">
        <f t="shared" si="11"/>
        <v>31560.638583333333</v>
      </c>
      <c r="I21" s="6">
        <f t="shared" si="11"/>
        <v>31560.638583333333</v>
      </c>
    </row>
    <row r="22" spans="2:9">
      <c r="B22" s="30"/>
    </row>
    <row r="23" spans="2:9">
      <c r="B23" s="24" t="s">
        <v>47</v>
      </c>
      <c r="C23" s="25">
        <f>C10-C21</f>
        <v>11189.361416666667</v>
      </c>
      <c r="D23" s="25">
        <f t="shared" ref="D23:I23" si="12">D10-D21</f>
        <v>11232.111416666667</v>
      </c>
      <c r="E23" s="25">
        <f t="shared" si="12"/>
        <v>11274.861416666667</v>
      </c>
      <c r="F23" s="25">
        <f t="shared" si="12"/>
        <v>11317.611416666667</v>
      </c>
      <c r="G23" s="25">
        <f t="shared" si="12"/>
        <v>11360.361416666667</v>
      </c>
      <c r="H23" s="25">
        <f t="shared" si="12"/>
        <v>11403.111416666667</v>
      </c>
      <c r="I23" s="25">
        <f t="shared" si="12"/>
        <v>11445.861416666667</v>
      </c>
    </row>
    <row r="24" spans="2:9">
      <c r="B24" s="29" t="s">
        <v>15</v>
      </c>
      <c r="C24" s="6">
        <f>(C6/$H$34)*$H$52</f>
        <v>2588.6905640381242</v>
      </c>
      <c r="D24" s="6">
        <f t="shared" ref="D24:I24" si="13">(D6/$H$34)*$H$52</f>
        <v>2591.2792546021619</v>
      </c>
      <c r="E24" s="6">
        <f t="shared" si="13"/>
        <v>2593.8679451662006</v>
      </c>
      <c r="F24" s="6">
        <f t="shared" si="13"/>
        <v>2596.4566357302383</v>
      </c>
      <c r="G24" s="6">
        <f t="shared" si="13"/>
        <v>2599.0453262942769</v>
      </c>
      <c r="H24" s="6">
        <f t="shared" si="13"/>
        <v>2601.6340168583147</v>
      </c>
      <c r="I24" s="6">
        <f t="shared" si="13"/>
        <v>2604.2227074223529</v>
      </c>
    </row>
    <row r="25" spans="2:9">
      <c r="B25" s="29" t="s">
        <v>101</v>
      </c>
      <c r="C25" s="6">
        <f>(C6/$H$34)*$H$53</f>
        <v>517.73811280762482</v>
      </c>
      <c r="D25" s="6">
        <f t="shared" ref="D25:I25" si="14">(D6/$H$34)*$H$53</f>
        <v>518.25585092043241</v>
      </c>
      <c r="E25" s="6">
        <f t="shared" si="14"/>
        <v>518.77358903324011</v>
      </c>
      <c r="F25" s="6">
        <f t="shared" si="14"/>
        <v>519.29132714604771</v>
      </c>
      <c r="G25" s="6">
        <f t="shared" si="14"/>
        <v>519.80906525885541</v>
      </c>
      <c r="H25" s="6">
        <f t="shared" si="14"/>
        <v>520.326803371663</v>
      </c>
      <c r="I25" s="6">
        <f t="shared" si="14"/>
        <v>520.8445414844706</v>
      </c>
    </row>
    <row r="26" spans="2:9">
      <c r="B26" s="29" t="s">
        <v>16</v>
      </c>
      <c r="C26" s="6">
        <f>'Loan Amortization Table'!D14</f>
        <v>562.5</v>
      </c>
      <c r="D26" s="6">
        <f>'Loan Amortization Table'!D15</f>
        <v>559.59323772654841</v>
      </c>
      <c r="E26" s="6">
        <f>'Loan Amortization Table'!D16</f>
        <v>556.66467473604598</v>
      </c>
      <c r="F26" s="6">
        <f>'Loan Amortization Table'!D17</f>
        <v>553.71414752311478</v>
      </c>
      <c r="G26" s="6">
        <f>'Loan Amortization Table'!D18</f>
        <v>550.74149135608673</v>
      </c>
      <c r="H26" s="6">
        <f>'Loan Amortization Table'!D19</f>
        <v>547.74654026780581</v>
      </c>
      <c r="I26" s="6">
        <f>'Loan Amortization Table'!D20</f>
        <v>544.72912704636292</v>
      </c>
    </row>
    <row r="27" spans="2:9">
      <c r="B27" s="29" t="s">
        <v>54</v>
      </c>
      <c r="C27" s="6">
        <f>$H$55/12</f>
        <v>466.66666666666669</v>
      </c>
      <c r="D27" s="6">
        <f t="shared" ref="D27:I27" si="15">$H$55/12</f>
        <v>466.66666666666669</v>
      </c>
      <c r="E27" s="6">
        <f t="shared" si="15"/>
        <v>466.66666666666669</v>
      </c>
      <c r="F27" s="6">
        <f t="shared" si="15"/>
        <v>466.66666666666669</v>
      </c>
      <c r="G27" s="6">
        <f t="shared" si="15"/>
        <v>466.66666666666669</v>
      </c>
      <c r="H27" s="6">
        <f t="shared" si="15"/>
        <v>466.66666666666669</v>
      </c>
      <c r="I27" s="6">
        <f t="shared" si="15"/>
        <v>466.66666666666669</v>
      </c>
    </row>
    <row r="28" spans="2:9">
      <c r="B28" s="38" t="s">
        <v>17</v>
      </c>
      <c r="C28" s="39">
        <f>C23-SUM(C24:C27)</f>
        <v>7053.766073154251</v>
      </c>
      <c r="D28" s="39">
        <f t="shared" ref="D28:I28" si="16">D23-SUM(D24:D27)</f>
        <v>7096.3164067508569</v>
      </c>
      <c r="E28" s="39">
        <f t="shared" si="16"/>
        <v>7138.8885410645134</v>
      </c>
      <c r="F28" s="39">
        <f t="shared" si="16"/>
        <v>7181.4826396005992</v>
      </c>
      <c r="G28" s="39">
        <f t="shared" si="16"/>
        <v>7224.0988670907809</v>
      </c>
      <c r="H28" s="39">
        <f t="shared" si="16"/>
        <v>7266.7373895022165</v>
      </c>
      <c r="I28" s="39">
        <f t="shared" si="16"/>
        <v>7309.3983740468138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45315</v>
      </c>
      <c r="D34" s="6">
        <f>Inputs!K42</f>
        <v>45360</v>
      </c>
      <c r="E34" s="6">
        <f>Inputs!L42</f>
        <v>45405</v>
      </c>
      <c r="F34" s="6">
        <f>Inputs!M42</f>
        <v>45450</v>
      </c>
      <c r="G34" s="6">
        <f>Inputs!N42</f>
        <v>45495</v>
      </c>
      <c r="H34" s="6">
        <f>'Profit and Loss Statement'!E6</f>
        <v>542970</v>
      </c>
    </row>
    <row r="35" spans="2:8">
      <c r="B35" s="31" t="s">
        <v>52</v>
      </c>
      <c r="C35" s="6">
        <f>Inputs!J61</f>
        <v>2265.75</v>
      </c>
      <c r="D35" s="6">
        <f>Inputs!K61</f>
        <v>2268</v>
      </c>
      <c r="E35" s="6">
        <f>Inputs!L61</f>
        <v>2270.25</v>
      </c>
      <c r="F35" s="6">
        <f>Inputs!M61</f>
        <v>2272.5</v>
      </c>
      <c r="G35" s="6">
        <f>Inputs!N61</f>
        <v>2274.75</v>
      </c>
      <c r="H35" s="6">
        <f>'Profit and Loss Statement'!E7</f>
        <v>27148.5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43049.25</v>
      </c>
      <c r="D38" s="6">
        <f t="shared" ref="D38:H38" si="19">D34-D35</f>
        <v>43092</v>
      </c>
      <c r="E38" s="6">
        <f t="shared" si="19"/>
        <v>43134.75</v>
      </c>
      <c r="F38" s="6">
        <f t="shared" si="19"/>
        <v>43177.5</v>
      </c>
      <c r="G38" s="6">
        <f t="shared" si="19"/>
        <v>43220.25</v>
      </c>
      <c r="H38" s="6">
        <f t="shared" si="19"/>
        <v>515821.5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25208.333333333332</v>
      </c>
      <c r="D41" s="6">
        <f t="shared" ref="D41:G41" si="20">$H$41/12</f>
        <v>25208.333333333332</v>
      </c>
      <c r="E41" s="6">
        <f t="shared" si="20"/>
        <v>25208.333333333332</v>
      </c>
      <c r="F41" s="6">
        <f t="shared" si="20"/>
        <v>25208.333333333332</v>
      </c>
      <c r="G41" s="6">
        <f t="shared" si="20"/>
        <v>25208.333333333332</v>
      </c>
      <c r="H41" s="6">
        <f>'Profit and Loss Statement'!E13</f>
        <v>302500</v>
      </c>
    </row>
    <row r="42" spans="2:8">
      <c r="B42" s="33" t="str">
        <f>B14</f>
        <v>Facility Costs</v>
      </c>
      <c r="C42" s="6">
        <f>$H$42/12</f>
        <v>1458.4166666666667</v>
      </c>
      <c r="D42" s="6">
        <f t="shared" ref="D42:G42" si="21">$H$42/12</f>
        <v>1458.4166666666667</v>
      </c>
      <c r="E42" s="6">
        <f t="shared" si="21"/>
        <v>1458.4166666666667</v>
      </c>
      <c r="F42" s="6">
        <f t="shared" si="21"/>
        <v>1458.4166666666667</v>
      </c>
      <c r="G42" s="6">
        <f t="shared" si="21"/>
        <v>1458.4166666666667</v>
      </c>
      <c r="H42" s="6">
        <f>'Profit and Loss Statement'!E14</f>
        <v>17501</v>
      </c>
    </row>
    <row r="43" spans="2:8">
      <c r="B43" s="33" t="str">
        <f t="shared" ref="B43:B47" si="22">B15</f>
        <v>General and Administrative</v>
      </c>
      <c r="C43" s="6">
        <f>$H$43/12</f>
        <v>710.38574999999992</v>
      </c>
      <c r="D43" s="6">
        <f t="shared" ref="D43:G43" si="23">$H$43/12</f>
        <v>710.38574999999992</v>
      </c>
      <c r="E43" s="6">
        <f t="shared" si="23"/>
        <v>710.38574999999992</v>
      </c>
      <c r="F43" s="6">
        <f t="shared" si="23"/>
        <v>710.38574999999992</v>
      </c>
      <c r="G43" s="6">
        <f t="shared" si="23"/>
        <v>710.38574999999992</v>
      </c>
      <c r="H43" s="6">
        <f>'Profit and Loss Statement'!E15</f>
        <v>8524.628999999999</v>
      </c>
    </row>
    <row r="44" spans="2:8">
      <c r="B44" s="33" t="str">
        <f t="shared" si="22"/>
        <v>Equipment Costs</v>
      </c>
      <c r="C44" s="6">
        <f>$H$44/12</f>
        <v>687.76200000000006</v>
      </c>
      <c r="D44" s="6">
        <f t="shared" ref="D44:G44" si="24">$H$44/12</f>
        <v>687.76200000000006</v>
      </c>
      <c r="E44" s="6">
        <f t="shared" si="24"/>
        <v>687.76200000000006</v>
      </c>
      <c r="F44" s="6">
        <f t="shared" si="24"/>
        <v>687.76200000000006</v>
      </c>
      <c r="G44" s="6">
        <f t="shared" si="24"/>
        <v>687.76200000000006</v>
      </c>
      <c r="H44" s="6">
        <f>'Profit and Loss Statement'!E16</f>
        <v>8253.1440000000002</v>
      </c>
    </row>
    <row r="45" spans="2:8">
      <c r="B45" s="33" t="str">
        <f t="shared" si="22"/>
        <v>Insurance Costs</v>
      </c>
      <c r="C45" s="6">
        <f>$H$45/12</f>
        <v>756.25</v>
      </c>
      <c r="D45" s="6">
        <f t="shared" ref="D45:G45" si="25">$H$45/12</f>
        <v>756.25</v>
      </c>
      <c r="E45" s="6">
        <f t="shared" si="25"/>
        <v>756.25</v>
      </c>
      <c r="F45" s="6">
        <f t="shared" si="25"/>
        <v>756.25</v>
      </c>
      <c r="G45" s="6">
        <f t="shared" si="25"/>
        <v>756.25</v>
      </c>
      <c r="H45" s="6">
        <f>'Profit and Loss Statement'!E17</f>
        <v>9075</v>
      </c>
    </row>
    <row r="46" spans="2:8">
      <c r="B46" s="33" t="str">
        <f t="shared" si="22"/>
        <v>Marketing</v>
      </c>
      <c r="C46" s="6">
        <f>$H$46/12</f>
        <v>542.97</v>
      </c>
      <c r="D46" s="6">
        <f t="shared" ref="D46:G46" si="26">$H$46/12</f>
        <v>542.97</v>
      </c>
      <c r="E46" s="6">
        <f t="shared" si="26"/>
        <v>542.97</v>
      </c>
      <c r="F46" s="6">
        <f t="shared" si="26"/>
        <v>542.97</v>
      </c>
      <c r="G46" s="6">
        <f t="shared" si="26"/>
        <v>542.97</v>
      </c>
      <c r="H46" s="6">
        <f>'Profit and Loss Statement'!E18</f>
        <v>6515.64</v>
      </c>
    </row>
    <row r="47" spans="2:8">
      <c r="B47" s="33" t="str">
        <f t="shared" si="22"/>
        <v>Professional Fees and Licensure</v>
      </c>
      <c r="C47" s="6">
        <f>$H$47/12</f>
        <v>268.08333333333331</v>
      </c>
      <c r="D47" s="6">
        <f t="shared" ref="D47:G47" si="27">$H$47/12</f>
        <v>268.08333333333331</v>
      </c>
      <c r="E47" s="6">
        <f t="shared" si="27"/>
        <v>268.08333333333331</v>
      </c>
      <c r="F47" s="6">
        <f t="shared" si="27"/>
        <v>268.08333333333331</v>
      </c>
      <c r="G47" s="6">
        <f t="shared" si="27"/>
        <v>268.08333333333331</v>
      </c>
      <c r="H47" s="6">
        <f>'Profit and Loss Statement'!E19</f>
        <v>3217</v>
      </c>
    </row>
    <row r="48" spans="2:8">
      <c r="B48" s="29" t="s">
        <v>14</v>
      </c>
      <c r="C48" s="6">
        <f>$H$48/12</f>
        <v>1928.4375</v>
      </c>
      <c r="D48" s="6">
        <f t="shared" ref="D48:G48" si="28">$H$48/12</f>
        <v>1928.4375</v>
      </c>
      <c r="E48" s="6">
        <f t="shared" si="28"/>
        <v>1928.4375</v>
      </c>
      <c r="F48" s="6">
        <f t="shared" si="28"/>
        <v>1928.4375</v>
      </c>
      <c r="G48" s="6">
        <f t="shared" si="28"/>
        <v>1928.4375</v>
      </c>
      <c r="H48" s="6">
        <f>'Profit and Loss Statement'!E20</f>
        <v>23141.25</v>
      </c>
    </row>
    <row r="49" spans="2:15">
      <c r="B49" s="28" t="s">
        <v>8</v>
      </c>
      <c r="C49" s="6">
        <f>SUM(C41:C48)</f>
        <v>31560.638583333333</v>
      </c>
      <c r="D49" s="6">
        <f t="shared" ref="D49:G49" si="29">SUM(D41:D48)</f>
        <v>31560.638583333333</v>
      </c>
      <c r="E49" s="6">
        <f t="shared" si="29"/>
        <v>31560.638583333333</v>
      </c>
      <c r="F49" s="6">
        <f t="shared" si="29"/>
        <v>31560.638583333333</v>
      </c>
      <c r="G49" s="6">
        <f t="shared" si="29"/>
        <v>31560.638583333333</v>
      </c>
      <c r="H49" s="6">
        <f>'Profit and Loss Statement'!E21</f>
        <v>378727.66300000006</v>
      </c>
    </row>
    <row r="50" spans="2:15">
      <c r="B50" s="30"/>
    </row>
    <row r="51" spans="2:15">
      <c r="B51" s="24" t="s">
        <v>47</v>
      </c>
      <c r="C51" s="25">
        <f>C38-C49</f>
        <v>11488.611416666667</v>
      </c>
      <c r="D51" s="25">
        <f t="shared" ref="D51:H51" si="30">D38-D49</f>
        <v>11531.361416666667</v>
      </c>
      <c r="E51" s="25">
        <f t="shared" si="30"/>
        <v>11574.111416666667</v>
      </c>
      <c r="F51" s="25">
        <f t="shared" si="30"/>
        <v>11616.861416666667</v>
      </c>
      <c r="G51" s="25">
        <f t="shared" si="30"/>
        <v>11659.611416666667</v>
      </c>
      <c r="H51" s="25">
        <f t="shared" si="30"/>
        <v>137093.83699999994</v>
      </c>
    </row>
    <row r="52" spans="2:15">
      <c r="B52" s="29" t="s">
        <v>15</v>
      </c>
      <c r="C52" s="6">
        <f>(C34/$H$34)*$H$52</f>
        <v>2606.8113979863911</v>
      </c>
      <c r="D52" s="6">
        <f t="shared" ref="D52:G52" si="31">(D34/$H$34)*$H$52</f>
        <v>2609.4000885504288</v>
      </c>
      <c r="E52" s="6">
        <f t="shared" si="31"/>
        <v>2611.9887791144674</v>
      </c>
      <c r="F52" s="6">
        <f t="shared" si="31"/>
        <v>2614.5774696785052</v>
      </c>
      <c r="G52" s="6">
        <f t="shared" si="31"/>
        <v>2617.1661602425434</v>
      </c>
      <c r="H52" s="6">
        <f>'Profit and Loss Statement'!E24</f>
        <v>31235.140345684005</v>
      </c>
    </row>
    <row r="53" spans="2:15">
      <c r="B53" s="29" t="s">
        <v>101</v>
      </c>
      <c r="C53" s="6">
        <f>(C34/$H$34)*$H$53</f>
        <v>521.36227959727819</v>
      </c>
      <c r="D53" s="6">
        <f t="shared" ref="D53:G53" si="32">(D34/$H$34)*$H$53</f>
        <v>521.88001771008578</v>
      </c>
      <c r="E53" s="6">
        <f t="shared" si="32"/>
        <v>522.39775582289349</v>
      </c>
      <c r="F53" s="6">
        <f t="shared" si="32"/>
        <v>522.91549393570108</v>
      </c>
      <c r="G53" s="6">
        <f t="shared" si="32"/>
        <v>523.43323204850878</v>
      </c>
      <c r="H53" s="6">
        <f>'Profit and Loss Statement'!E25</f>
        <v>6247.0280691368016</v>
      </c>
    </row>
    <row r="54" spans="2:15">
      <c r="B54" s="29" t="s">
        <v>16</v>
      </c>
      <c r="C54" s="6">
        <f>'Loan Amortization Table'!D21</f>
        <v>541.68908322575908</v>
      </c>
      <c r="D54" s="6">
        <f>'Loan Amortization Table'!D22</f>
        <v>538.62623907650072</v>
      </c>
      <c r="E54" s="6">
        <f>'Loan Amortization Table'!D23</f>
        <v>535.54042359612299</v>
      </c>
      <c r="F54" s="6">
        <f>'Loan Amortization Table'!D24</f>
        <v>532.43146449964229</v>
      </c>
      <c r="G54" s="6">
        <f>'Loan Amortization Table'!D25</f>
        <v>529.29918820993817</v>
      </c>
      <c r="H54" s="6">
        <f>'Profit and Loss Statement'!E26</f>
        <v>6553.2756172639274</v>
      </c>
    </row>
    <row r="55" spans="2:15">
      <c r="B55" s="29" t="s">
        <v>54</v>
      </c>
      <c r="C55" s="6">
        <f>$H$55/12</f>
        <v>466.66666666666669</v>
      </c>
      <c r="D55" s="6">
        <f t="shared" ref="D55:G55" si="33">$H$55/12</f>
        <v>466.66666666666669</v>
      </c>
      <c r="E55" s="6">
        <f t="shared" si="33"/>
        <v>466.66666666666669</v>
      </c>
      <c r="F55" s="6">
        <f t="shared" si="33"/>
        <v>466.66666666666669</v>
      </c>
      <c r="G55" s="6">
        <f t="shared" si="33"/>
        <v>466.66666666666669</v>
      </c>
      <c r="H55" s="6">
        <f>'Profit and Loss Statement'!E27</f>
        <v>5600</v>
      </c>
    </row>
    <row r="56" spans="2:15">
      <c r="B56" s="38" t="s">
        <v>17</v>
      </c>
      <c r="C56" s="39">
        <f>C51-SUM(C52:C55)</f>
        <v>7352.0819891905712</v>
      </c>
      <c r="D56" s="39">
        <f t="shared" ref="D56:G56" si="34">D51-SUM(D52:D55)</f>
        <v>7394.7884046629842</v>
      </c>
      <c r="E56" s="39">
        <f t="shared" si="34"/>
        <v>7437.5177914665155</v>
      </c>
      <c r="F56" s="39">
        <f t="shared" si="34"/>
        <v>7480.2703218861516</v>
      </c>
      <c r="G56" s="39">
        <f t="shared" si="34"/>
        <v>7523.0461694990099</v>
      </c>
      <c r="H56" s="39">
        <f>'Profit and Loss Statement'!E28</f>
        <v>87458.392967915206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149316.75</v>
      </c>
      <c r="D62" s="6">
        <f t="shared" ref="D62:F62" si="38">$G$62*M62</f>
        <v>149316.75</v>
      </c>
      <c r="E62" s="6">
        <f t="shared" si="38"/>
        <v>149316.75</v>
      </c>
      <c r="F62" s="6">
        <f t="shared" si="38"/>
        <v>149316.75</v>
      </c>
      <c r="G62" s="6">
        <f>'Profit and Loss Statement'!F6</f>
        <v>597267</v>
      </c>
      <c r="K62" s="4" t="s">
        <v>113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7465.8374999999996</v>
      </c>
      <c r="D63" s="6">
        <f t="shared" ref="D63:F63" si="39">$G$63*M62</f>
        <v>7465.8374999999996</v>
      </c>
      <c r="E63" s="6">
        <f t="shared" si="39"/>
        <v>7465.8374999999996</v>
      </c>
      <c r="F63" s="6">
        <f t="shared" si="39"/>
        <v>7465.8374999999996</v>
      </c>
      <c r="G63" s="6">
        <f>'Profit and Loss Statement'!F7</f>
        <v>29863.35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141850.91250000001</v>
      </c>
      <c r="D66" s="6">
        <f t="shared" ref="D66:G66" si="43">D62-D63</f>
        <v>141850.91250000001</v>
      </c>
      <c r="E66" s="6">
        <f t="shared" si="43"/>
        <v>141850.91250000001</v>
      </c>
      <c r="F66" s="6">
        <f t="shared" si="43"/>
        <v>141850.91250000001</v>
      </c>
      <c r="G66" s="6">
        <f t="shared" si="43"/>
        <v>567403.65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77893.75</v>
      </c>
      <c r="D69" s="6">
        <f t="shared" ref="D69:F69" si="44">$G$69/4</f>
        <v>77893.75</v>
      </c>
      <c r="E69" s="6">
        <f t="shared" si="44"/>
        <v>77893.75</v>
      </c>
      <c r="F69" s="6">
        <f t="shared" si="44"/>
        <v>77893.75</v>
      </c>
      <c r="G69" s="6">
        <f>'Profit and Loss Statement'!F13</f>
        <v>311575</v>
      </c>
    </row>
    <row r="70" spans="2:7">
      <c r="B70" s="33" t="str">
        <f>B42</f>
        <v>Facility Costs</v>
      </c>
      <c r="C70" s="6">
        <f>$G$70/4</f>
        <v>4506.5074999999997</v>
      </c>
      <c r="D70" s="6">
        <f t="shared" ref="D70:F70" si="45">$G$70/4</f>
        <v>4506.5074999999997</v>
      </c>
      <c r="E70" s="6">
        <f t="shared" si="45"/>
        <v>4506.5074999999997</v>
      </c>
      <c r="F70" s="6">
        <f t="shared" si="45"/>
        <v>4506.5074999999997</v>
      </c>
      <c r="G70" s="6">
        <f>'Profit and Loss Statement'!F14</f>
        <v>18026.03</v>
      </c>
    </row>
    <row r="71" spans="2:7">
      <c r="B71" s="33" t="str">
        <f t="shared" ref="B71:B75" si="46">B43</f>
        <v>General and Administrative</v>
      </c>
      <c r="C71" s="6">
        <f>$G$71/4</f>
        <v>2344.2729749999999</v>
      </c>
      <c r="D71" s="6">
        <f t="shared" ref="D71:F71" si="47">$G$71/4</f>
        <v>2344.2729749999999</v>
      </c>
      <c r="E71" s="6">
        <f t="shared" si="47"/>
        <v>2344.2729749999999</v>
      </c>
      <c r="F71" s="6">
        <f t="shared" si="47"/>
        <v>2344.2729749999999</v>
      </c>
      <c r="G71" s="6">
        <f>'Profit and Loss Statement'!F15</f>
        <v>9377.0918999999994</v>
      </c>
    </row>
    <row r="72" spans="2:7">
      <c r="B72" s="33" t="str">
        <f t="shared" si="46"/>
        <v>Equipment Costs</v>
      </c>
      <c r="C72" s="6">
        <f>$G$72/4</f>
        <v>2269.6145999999999</v>
      </c>
      <c r="D72" s="6">
        <f t="shared" ref="D72:F72" si="48">$G$72/4</f>
        <v>2269.6145999999999</v>
      </c>
      <c r="E72" s="6">
        <f t="shared" si="48"/>
        <v>2269.6145999999999</v>
      </c>
      <c r="F72" s="6">
        <f t="shared" si="48"/>
        <v>2269.6145999999999</v>
      </c>
      <c r="G72" s="6">
        <f>'Profit and Loss Statement'!F16</f>
        <v>9078.4583999999995</v>
      </c>
    </row>
    <row r="73" spans="2:7">
      <c r="B73" s="33" t="str">
        <f t="shared" si="46"/>
        <v>Insurance Costs</v>
      </c>
      <c r="C73" s="6">
        <f>$G$73/4</f>
        <v>2336.8125</v>
      </c>
      <c r="D73" s="6">
        <f t="shared" ref="D73:F73" si="49">$G$73/4</f>
        <v>2336.8125</v>
      </c>
      <c r="E73" s="6">
        <f t="shared" si="49"/>
        <v>2336.8125</v>
      </c>
      <c r="F73" s="6">
        <f t="shared" si="49"/>
        <v>2336.8125</v>
      </c>
      <c r="G73" s="6">
        <f>'Profit and Loss Statement'!F17</f>
        <v>9347.25</v>
      </c>
    </row>
    <row r="74" spans="2:7">
      <c r="B74" s="33" t="str">
        <f t="shared" si="46"/>
        <v>Marketing</v>
      </c>
      <c r="C74" s="6">
        <f>$G$74/4</f>
        <v>1791.8009999999999</v>
      </c>
      <c r="D74" s="6">
        <f t="shared" ref="D74:F74" si="50">$G$74/4</f>
        <v>1791.8009999999999</v>
      </c>
      <c r="E74" s="6">
        <f t="shared" si="50"/>
        <v>1791.8009999999999</v>
      </c>
      <c r="F74" s="6">
        <f t="shared" si="50"/>
        <v>1791.8009999999999</v>
      </c>
      <c r="G74" s="6">
        <f>'Profit and Loss Statement'!F18</f>
        <v>7167.2039999999997</v>
      </c>
    </row>
    <row r="75" spans="2:7">
      <c r="B75" s="33" t="str">
        <f t="shared" si="46"/>
        <v>Professional Fees and Licensure</v>
      </c>
      <c r="C75" s="6">
        <f>$G$75/4</f>
        <v>1085.7375000000002</v>
      </c>
      <c r="D75" s="6">
        <f t="shared" ref="D75:F75" si="51">$G$75/4</f>
        <v>1085.7375000000002</v>
      </c>
      <c r="E75" s="6">
        <f t="shared" si="51"/>
        <v>1085.7375000000002</v>
      </c>
      <c r="F75" s="6">
        <f t="shared" si="51"/>
        <v>1085.7375000000002</v>
      </c>
      <c r="G75" s="6">
        <f>'Profit and Loss Statement'!F19</f>
        <v>4342.9500000000007</v>
      </c>
    </row>
    <row r="76" spans="2:7">
      <c r="B76" s="29" t="s">
        <v>14</v>
      </c>
      <c r="C76" s="6">
        <f>$G$76/4</f>
        <v>5958.8718749999998</v>
      </c>
      <c r="D76" s="6">
        <f t="shared" ref="D76:F76" si="52">$G$76/4</f>
        <v>5958.8718749999998</v>
      </c>
      <c r="E76" s="6">
        <f t="shared" si="52"/>
        <v>5958.8718749999998</v>
      </c>
      <c r="F76" s="6">
        <f t="shared" si="52"/>
        <v>5958.8718749999998</v>
      </c>
      <c r="G76" s="6">
        <f>'Profit and Loss Statement'!F20</f>
        <v>23835.487499999999</v>
      </c>
    </row>
    <row r="77" spans="2:7">
      <c r="B77" s="28" t="s">
        <v>8</v>
      </c>
      <c r="C77" s="6">
        <f>SUM(C69:C76)</f>
        <v>98187.367950000014</v>
      </c>
      <c r="D77" s="6">
        <f t="shared" ref="D77:F77" si="53">SUM(D69:D76)</f>
        <v>98187.367950000014</v>
      </c>
      <c r="E77" s="6">
        <f t="shared" si="53"/>
        <v>98187.367950000014</v>
      </c>
      <c r="F77" s="6">
        <f t="shared" si="53"/>
        <v>98187.367950000014</v>
      </c>
      <c r="G77" s="6">
        <f>SUM(G69:G76)</f>
        <v>392749.47180000006</v>
      </c>
    </row>
    <row r="78" spans="2:7">
      <c r="B78" s="30"/>
    </row>
    <row r="79" spans="2:7">
      <c r="B79" s="24" t="s">
        <v>47</v>
      </c>
      <c r="C79" s="25">
        <f>C66-C77</f>
        <v>43663.544549999991</v>
      </c>
      <c r="D79" s="25">
        <f t="shared" ref="D79:F79" si="54">D66-D77</f>
        <v>43663.544549999991</v>
      </c>
      <c r="E79" s="25">
        <f t="shared" si="54"/>
        <v>43663.544549999991</v>
      </c>
      <c r="F79" s="25">
        <f t="shared" si="54"/>
        <v>43663.544549999991</v>
      </c>
      <c r="G79" s="25">
        <f t="shared" ref="G79" si="55">G66-G77</f>
        <v>174654.17819999997</v>
      </c>
    </row>
    <row r="80" spans="2:7">
      <c r="B80" s="29" t="s">
        <v>15</v>
      </c>
      <c r="C80" s="6">
        <f>$G$80*L62</f>
        <v>10184.7272280375</v>
      </c>
      <c r="D80" s="6">
        <f t="shared" ref="D80:F80" si="56">$G$80*M62</f>
        <v>10184.7272280375</v>
      </c>
      <c r="E80" s="6">
        <f t="shared" si="56"/>
        <v>10184.7272280375</v>
      </c>
      <c r="F80" s="6">
        <f t="shared" si="56"/>
        <v>10184.7272280375</v>
      </c>
      <c r="G80" s="6">
        <f>'Profit and Loss Statement'!F24</f>
        <v>40738.90891215</v>
      </c>
    </row>
    <row r="81" spans="2:19">
      <c r="B81" s="29" t="s">
        <v>101</v>
      </c>
      <c r="C81" s="6">
        <f>$G$81*L62</f>
        <v>2036.9454456075</v>
      </c>
      <c r="D81" s="6">
        <f t="shared" ref="D81:F81" si="57">$G$81*M62</f>
        <v>2036.9454456075</v>
      </c>
      <c r="E81" s="6">
        <f t="shared" si="57"/>
        <v>2036.9454456075</v>
      </c>
      <c r="F81" s="6">
        <f t="shared" si="57"/>
        <v>2036.9454456075</v>
      </c>
      <c r="G81" s="6">
        <f>'Profit and Loss Statement'!F25</f>
        <v>8147.78178243</v>
      </c>
    </row>
    <row r="82" spans="2:19">
      <c r="B82" s="29" t="s">
        <v>16</v>
      </c>
      <c r="C82" s="6">
        <f>SUM('Loan Amortization Table'!D26:D28)</f>
        <v>1568.8681038957259</v>
      </c>
      <c r="D82" s="6">
        <f>SUM('Loan Amortization Table'!D29:D31)</f>
        <v>1539.8212596224253</v>
      </c>
      <c r="E82" s="6">
        <f>SUM('Loan Amortization Table'!D32:D34)</f>
        <v>1510.1159474438673</v>
      </c>
      <c r="F82" s="6">
        <f>SUM('Loan Amortization Table'!D35:D37)</f>
        <v>1479.737240437933</v>
      </c>
      <c r="G82" s="6">
        <f>'Profit and Loss Statement'!F26</f>
        <v>6098.5425513999517</v>
      </c>
    </row>
    <row r="83" spans="2:19">
      <c r="B83" s="29" t="s">
        <v>54</v>
      </c>
      <c r="C83" s="6">
        <f>$G$83/4</f>
        <v>1400</v>
      </c>
      <c r="D83" s="6">
        <f t="shared" ref="D83:F83" si="58">$G$83/4</f>
        <v>1400</v>
      </c>
      <c r="E83" s="6">
        <f t="shared" si="58"/>
        <v>1400</v>
      </c>
      <c r="F83" s="6">
        <f t="shared" si="58"/>
        <v>1400</v>
      </c>
      <c r="G83" s="6">
        <f>'Profit and Loss Statement'!F27</f>
        <v>5600</v>
      </c>
    </row>
    <row r="84" spans="2:19">
      <c r="B84" s="38" t="s">
        <v>17</v>
      </c>
      <c r="C84" s="39">
        <f>C79-SUM(C80:C83)</f>
        <v>28473.003772459266</v>
      </c>
      <c r="D84" s="39">
        <f t="shared" ref="D84:F84" si="59">D79-SUM(D80:D83)</f>
        <v>28502.050616732566</v>
      </c>
      <c r="E84" s="39">
        <f t="shared" si="59"/>
        <v>28531.755928911123</v>
      </c>
      <c r="F84" s="39">
        <f t="shared" si="59"/>
        <v>28562.134635917057</v>
      </c>
      <c r="G84" s="39">
        <f>'Profit and Loss Statement'!F28</f>
        <v>114068.94495402001</v>
      </c>
    </row>
    <row r="86" spans="2:19">
      <c r="S86" s="112"/>
    </row>
    <row r="87" spans="2:19">
      <c r="S87" s="112"/>
    </row>
    <row r="88" spans="2:19">
      <c r="S88" s="112"/>
    </row>
    <row r="89" spans="2:19">
      <c r="S89" s="112" t="s">
        <v>140</v>
      </c>
    </row>
    <row r="90" spans="2:19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  <c r="S90" s="112"/>
    </row>
    <row r="91" spans="2:19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  <c r="S91" s="112"/>
    </row>
    <row r="92" spans="2:19">
      <c r="B92" s="37" t="s">
        <v>51</v>
      </c>
      <c r="C92" s="6">
        <f>$G$92*L92</f>
        <v>164248.42500000002</v>
      </c>
      <c r="D92" s="6">
        <f t="shared" ref="D92:F92" si="64">$G$92*M92</f>
        <v>164248.42500000002</v>
      </c>
      <c r="E92" s="6">
        <f t="shared" si="64"/>
        <v>164248.42500000002</v>
      </c>
      <c r="F92" s="6">
        <f t="shared" si="64"/>
        <v>164248.42500000002</v>
      </c>
      <c r="G92" s="6">
        <f>'Profit and Loss Statement'!G6</f>
        <v>656993.70000000007</v>
      </c>
      <c r="K92" s="4" t="s">
        <v>113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9">
      <c r="B93" s="31" t="s">
        <v>52</v>
      </c>
      <c r="C93" s="6">
        <f>$G$93*L92</f>
        <v>8212.4212500000012</v>
      </c>
      <c r="D93" s="6">
        <f t="shared" ref="D93:F93" si="65">$G$93*M92</f>
        <v>8212.4212500000012</v>
      </c>
      <c r="E93" s="6">
        <f t="shared" si="65"/>
        <v>8212.4212500000012</v>
      </c>
      <c r="F93" s="6">
        <f t="shared" si="65"/>
        <v>8212.4212500000012</v>
      </c>
      <c r="G93" s="6">
        <f>'Profit and Loss Statement'!G7</f>
        <v>32849.685000000005</v>
      </c>
    </row>
    <row r="94" spans="2:19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9">
      <c r="B95" s="30"/>
    </row>
    <row r="96" spans="2:19">
      <c r="B96" s="37" t="s">
        <v>10</v>
      </c>
      <c r="C96" s="6">
        <f>C92-C93</f>
        <v>156036.00375</v>
      </c>
      <c r="D96" s="6">
        <f t="shared" ref="D96:G96" si="67">D92-D93</f>
        <v>156036.00375</v>
      </c>
      <c r="E96" s="6">
        <f t="shared" si="67"/>
        <v>156036.00375</v>
      </c>
      <c r="F96" s="6">
        <f t="shared" si="67"/>
        <v>156036.00375</v>
      </c>
      <c r="G96" s="6">
        <f t="shared" si="67"/>
        <v>624144.01500000001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80230.5625</v>
      </c>
      <c r="D99" s="6">
        <f>$G$99/4</f>
        <v>80230.5625</v>
      </c>
      <c r="E99" s="6">
        <f>$G$99/4</f>
        <v>80230.5625</v>
      </c>
      <c r="F99" s="6">
        <f>$G$99/4</f>
        <v>80230.5625</v>
      </c>
      <c r="G99" s="6">
        <f>'Profit and Loss Statement'!G13</f>
        <v>320922.25</v>
      </c>
    </row>
    <row r="100" spans="2:7">
      <c r="B100" s="33" t="str">
        <f>B70</f>
        <v>Facility Costs</v>
      </c>
      <c r="C100" s="6">
        <f>$G$100/4</f>
        <v>4641.7027250000001</v>
      </c>
      <c r="D100" s="6">
        <f t="shared" ref="D100:F100" si="68">$G$100/4</f>
        <v>4641.7027250000001</v>
      </c>
      <c r="E100" s="6">
        <f t="shared" si="68"/>
        <v>4641.7027250000001</v>
      </c>
      <c r="F100" s="6">
        <f t="shared" si="68"/>
        <v>4641.7027250000001</v>
      </c>
      <c r="G100" s="6">
        <f>'Profit and Loss Statement'!G14</f>
        <v>18566.8109</v>
      </c>
    </row>
    <row r="101" spans="2:7">
      <c r="B101" s="33" t="str">
        <f t="shared" ref="B101:B105" si="69">B71</f>
        <v>General and Administrative</v>
      </c>
      <c r="C101" s="6">
        <f>$G101/4</f>
        <v>2578.7002725000002</v>
      </c>
      <c r="D101" s="6">
        <f t="shared" ref="D101:F101" si="70">$G101/4</f>
        <v>2578.7002725000002</v>
      </c>
      <c r="E101" s="6">
        <f t="shared" si="70"/>
        <v>2578.7002725000002</v>
      </c>
      <c r="F101" s="6">
        <f t="shared" si="70"/>
        <v>2578.7002725000002</v>
      </c>
      <c r="G101" s="6">
        <f>'Profit and Loss Statement'!G15</f>
        <v>10314.801090000001</v>
      </c>
    </row>
    <row r="102" spans="2:7">
      <c r="B102" s="33" t="str">
        <f t="shared" si="69"/>
        <v>Equipment Costs</v>
      </c>
      <c r="C102" s="6">
        <f>$G$102/4</f>
        <v>2496.5760600000003</v>
      </c>
      <c r="D102" s="6">
        <f t="shared" ref="D102:F102" si="71">$G$102/4</f>
        <v>2496.5760600000003</v>
      </c>
      <c r="E102" s="6">
        <f t="shared" si="71"/>
        <v>2496.5760600000003</v>
      </c>
      <c r="F102" s="6">
        <f t="shared" si="71"/>
        <v>2496.5760600000003</v>
      </c>
      <c r="G102" s="6">
        <f>'Profit and Loss Statement'!G16</f>
        <v>9986.3042400000013</v>
      </c>
    </row>
    <row r="103" spans="2:7">
      <c r="B103" s="33" t="str">
        <f t="shared" si="69"/>
        <v>Insurance Costs</v>
      </c>
      <c r="C103" s="6">
        <f>$G$103/4</f>
        <v>2406.9168749999999</v>
      </c>
      <c r="D103" s="6">
        <f t="shared" ref="D103:F103" si="72">$G$103/4</f>
        <v>2406.9168749999999</v>
      </c>
      <c r="E103" s="6">
        <f t="shared" si="72"/>
        <v>2406.9168749999999</v>
      </c>
      <c r="F103" s="6">
        <f t="shared" si="72"/>
        <v>2406.9168749999999</v>
      </c>
      <c r="G103" s="6">
        <f>'Profit and Loss Statement'!G17</f>
        <v>9627.6674999999996</v>
      </c>
    </row>
    <row r="104" spans="2:7">
      <c r="B104" s="33" t="str">
        <f t="shared" si="69"/>
        <v>Marketing</v>
      </c>
      <c r="C104" s="6">
        <f>$G$104/4</f>
        <v>1970.9811000000002</v>
      </c>
      <c r="D104" s="6">
        <f t="shared" ref="D104:F104" si="73">$G$104/4</f>
        <v>1970.9811000000002</v>
      </c>
      <c r="E104" s="6">
        <f t="shared" si="73"/>
        <v>1970.9811000000002</v>
      </c>
      <c r="F104" s="6">
        <f t="shared" si="73"/>
        <v>1970.9811000000002</v>
      </c>
      <c r="G104" s="6">
        <f>'Profit and Loss Statement'!G18</f>
        <v>7883.9244000000008</v>
      </c>
    </row>
    <row r="105" spans="2:7">
      <c r="B105" s="33" t="str">
        <f t="shared" si="69"/>
        <v>Professional Fees and Licensure</v>
      </c>
      <c r="C105" s="6">
        <f>$G$105/4</f>
        <v>1465.7456250000002</v>
      </c>
      <c r="D105" s="6">
        <f t="shared" ref="D105:F105" si="74">$G$105/4</f>
        <v>1465.7456250000002</v>
      </c>
      <c r="E105" s="6">
        <f t="shared" si="74"/>
        <v>1465.7456250000002</v>
      </c>
      <c r="F105" s="6">
        <f t="shared" si="74"/>
        <v>1465.7456250000002</v>
      </c>
      <c r="G105" s="6">
        <f>'Profit and Loss Statement'!G19</f>
        <v>5862.982500000001</v>
      </c>
    </row>
    <row r="106" spans="2:7">
      <c r="B106" s="29" t="s">
        <v>14</v>
      </c>
      <c r="C106" s="6">
        <f>$G$106/4</f>
        <v>6137.6380312499996</v>
      </c>
      <c r="D106" s="6">
        <f t="shared" ref="D106:F106" si="75">$G$106/4</f>
        <v>6137.6380312499996</v>
      </c>
      <c r="E106" s="6">
        <f t="shared" si="75"/>
        <v>6137.6380312499996</v>
      </c>
      <c r="F106" s="6">
        <f t="shared" si="75"/>
        <v>6137.6380312499996</v>
      </c>
      <c r="G106" s="6">
        <f>'Profit and Loss Statement'!G20</f>
        <v>24550.552124999998</v>
      </c>
    </row>
    <row r="107" spans="2:7">
      <c r="B107" s="28" t="s">
        <v>8</v>
      </c>
      <c r="C107" s="6">
        <f>SUM(C99:C106)</f>
        <v>101928.82318875</v>
      </c>
      <c r="D107" s="6">
        <f t="shared" ref="D107:F107" si="76">SUM(D99:D106)</f>
        <v>101928.82318875</v>
      </c>
      <c r="E107" s="6">
        <f t="shared" si="76"/>
        <v>101928.82318875</v>
      </c>
      <c r="F107" s="6">
        <f t="shared" si="76"/>
        <v>101928.82318875</v>
      </c>
      <c r="G107" s="6">
        <f>SUM(G99:G106)</f>
        <v>407715.292755</v>
      </c>
    </row>
    <row r="108" spans="2:7">
      <c r="B108" s="30"/>
    </row>
    <row r="109" spans="2:7">
      <c r="B109" s="24" t="s">
        <v>47</v>
      </c>
      <c r="C109" s="25">
        <f>C96-C107</f>
        <v>54107.180561250003</v>
      </c>
      <c r="D109" s="25">
        <f t="shared" ref="D109:G109" si="77">D96-D107</f>
        <v>54107.180561250003</v>
      </c>
      <c r="E109" s="25">
        <f t="shared" si="77"/>
        <v>54107.180561250003</v>
      </c>
      <c r="F109" s="25">
        <f t="shared" si="77"/>
        <v>54107.180561250003</v>
      </c>
      <c r="G109" s="25">
        <f t="shared" si="77"/>
        <v>216428.72224500001</v>
      </c>
    </row>
    <row r="110" spans="2:7">
      <c r="B110" s="29" t="s">
        <v>15</v>
      </c>
      <c r="C110" s="6">
        <f>$G$110*L92</f>
        <v>12826.723116102572</v>
      </c>
      <c r="D110" s="6">
        <f t="shared" ref="D110:F110" si="78">$G$110*M92</f>
        <v>12826.723116102572</v>
      </c>
      <c r="E110" s="6">
        <f t="shared" si="78"/>
        <v>12826.723116102572</v>
      </c>
      <c r="F110" s="6">
        <f t="shared" si="78"/>
        <v>12826.723116102572</v>
      </c>
      <c r="G110" s="6">
        <f>'Profit and Loss Statement'!G24</f>
        <v>51306.892464410288</v>
      </c>
    </row>
    <row r="111" spans="2:7">
      <c r="B111" s="29" t="s">
        <v>101</v>
      </c>
      <c r="C111" s="6">
        <f>$G$111*L92</f>
        <v>2565.3446232205147</v>
      </c>
      <c r="D111" s="6">
        <f t="shared" ref="D111:F111" si="79">$G$111*M92</f>
        <v>2565.3446232205147</v>
      </c>
      <c r="E111" s="6">
        <f t="shared" si="79"/>
        <v>2565.3446232205147</v>
      </c>
      <c r="F111" s="6">
        <f t="shared" si="79"/>
        <v>2565.3446232205147</v>
      </c>
      <c r="G111" s="6">
        <f>'Profit and Loss Statement'!G25</f>
        <v>10261.378492882059</v>
      </c>
    </row>
    <row r="112" spans="2:7">
      <c r="B112" s="29" t="s">
        <v>16</v>
      </c>
      <c r="C112" s="6">
        <f>SUM('Loan Amortization Table'!D38:D40)</f>
        <v>1448.6698733015405</v>
      </c>
      <c r="D112" s="6">
        <f>SUM('Loan Amortization Table'!D41:D43)</f>
        <v>1416.8982346798298</v>
      </c>
      <c r="E112" s="6">
        <f>SUM('Loan Amortization Table'!D44:D46)</f>
        <v>1384.406359321453</v>
      </c>
      <c r="F112" s="6">
        <f>SUM('Loan Amortization Table'!D47:D49)</f>
        <v>1351.1779200560363</v>
      </c>
      <c r="G112" s="6">
        <f>'Profit and Loss Statement'!G26</f>
        <v>5601.1523873588603</v>
      </c>
    </row>
    <row r="113" spans="2:15">
      <c r="B113" s="29" t="s">
        <v>54</v>
      </c>
      <c r="C113" s="6">
        <f>$G$113/4</f>
        <v>1400</v>
      </c>
      <c r="D113" s="6">
        <f>$G$113/4</f>
        <v>1400</v>
      </c>
      <c r="E113" s="6">
        <f>$G$113/4</f>
        <v>1400</v>
      </c>
      <c r="F113" s="6">
        <f>$G$113/4</f>
        <v>1400</v>
      </c>
      <c r="G113" s="6">
        <f>'Profit and Loss Statement'!G27</f>
        <v>5600</v>
      </c>
    </row>
    <row r="114" spans="2:15">
      <c r="B114" s="38" t="s">
        <v>17</v>
      </c>
      <c r="C114" s="39">
        <f>C109-SUM(C110:C113)</f>
        <v>35866.442948625379</v>
      </c>
      <c r="D114" s="39">
        <f t="shared" ref="D114:F114" si="80">D109-SUM(D110:D113)</f>
        <v>35898.214587247086</v>
      </c>
      <c r="E114" s="39">
        <f t="shared" si="80"/>
        <v>35930.706462605463</v>
      </c>
      <c r="F114" s="39">
        <f t="shared" si="80"/>
        <v>35963.934901870874</v>
      </c>
      <c r="G114" s="39">
        <f>'Profit and Loss Statement'!G28</f>
        <v>143659.2989003488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P151"/>
  <sheetViews>
    <sheetView showGridLines="0" workbookViewId="0">
      <selection activeCell="T8" sqref="T8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7520.432739820918</v>
      </c>
      <c r="E6" s="13">
        <f>'Expanded Profit and Loss'!D28+'Expanded Profit and Loss'!D27</f>
        <v>7562.9830734175239</v>
      </c>
      <c r="F6" s="13">
        <f>'Expanded Profit and Loss'!E28+'Expanded Profit and Loss'!E27</f>
        <v>7605.5552077311804</v>
      </c>
      <c r="G6" s="13">
        <f>'Expanded Profit and Loss'!F28+'Expanded Profit and Loss'!F27</f>
        <v>7648.1493062672662</v>
      </c>
      <c r="H6" s="13">
        <f>'Expanded Profit and Loss'!G28+'Expanded Profit and Loss'!G27</f>
        <v>7690.7655337574479</v>
      </c>
      <c r="I6" s="13">
        <f>'Expanded Profit and Loss'!H28+'Expanded Profit and Loss'!H27</f>
        <v>7733.4040561688835</v>
      </c>
      <c r="J6" s="13">
        <f>'Expanded Profit and Loss'!I28+'Expanded Profit and Loss'!I27</f>
        <v>7776.0650407134808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15000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75000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625.83333333333337</v>
      </c>
      <c r="E11" s="13">
        <f t="shared" ref="E11:J11" si="1">$I$36/12</f>
        <v>625.83333333333337</v>
      </c>
      <c r="F11" s="13">
        <f t="shared" si="1"/>
        <v>625.83333333333337</v>
      </c>
      <c r="G11" s="13">
        <f t="shared" si="1"/>
        <v>625.83333333333337</v>
      </c>
      <c r="H11" s="13">
        <f t="shared" si="1"/>
        <v>625.83333333333337</v>
      </c>
      <c r="I11" s="13">
        <f t="shared" si="1"/>
        <v>625.83333333333337</v>
      </c>
      <c r="J11" s="13">
        <f t="shared" si="1"/>
        <v>625.83333333333337</v>
      </c>
    </row>
    <row r="12" spans="3:10">
      <c r="C12" s="37" t="s">
        <v>23</v>
      </c>
      <c r="D12" s="26">
        <f>SUM(D9:D11)</f>
        <v>90625.833333333328</v>
      </c>
      <c r="E12" s="26">
        <f t="shared" ref="E12:J12" si="2">SUM(E9:E11)</f>
        <v>625.83333333333337</v>
      </c>
      <c r="F12" s="26">
        <f t="shared" si="2"/>
        <v>625.83333333333337</v>
      </c>
      <c r="G12" s="26">
        <f t="shared" si="2"/>
        <v>625.83333333333337</v>
      </c>
      <c r="H12" s="26">
        <f t="shared" si="2"/>
        <v>625.83333333333337</v>
      </c>
      <c r="I12" s="26">
        <f t="shared" si="2"/>
        <v>625.83333333333337</v>
      </c>
      <c r="J12" s="26">
        <f t="shared" si="2"/>
        <v>625.83333333333337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98146.266073154242</v>
      </c>
      <c r="E15" s="27">
        <f t="shared" ref="E15:J15" si="3">E6+E12</f>
        <v>8188.8164067508569</v>
      </c>
      <c r="F15" s="27">
        <f t="shared" si="3"/>
        <v>8231.3885410645144</v>
      </c>
      <c r="G15" s="27">
        <f t="shared" si="3"/>
        <v>8273.9826396005992</v>
      </c>
      <c r="H15" s="27">
        <f t="shared" si="3"/>
        <v>8316.5988670907809</v>
      </c>
      <c r="I15" s="27">
        <f t="shared" si="3"/>
        <v>8359.2373895022174</v>
      </c>
      <c r="J15" s="27">
        <f t="shared" si="3"/>
        <v>8401.8983740468138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387.56830312687111</v>
      </c>
      <c r="E18" s="6">
        <f>'Loan Amortization Table'!C15</f>
        <v>390.47506540032271</v>
      </c>
      <c r="F18" s="6">
        <f>'Loan Amortization Table'!C16</f>
        <v>393.40362839082513</v>
      </c>
      <c r="G18" s="6">
        <f>'Loan Amortization Table'!C17</f>
        <v>396.35415560375634</v>
      </c>
      <c r="H18" s="6">
        <f>'Loan Amortization Table'!C18</f>
        <v>399.32681177078439</v>
      </c>
      <c r="I18" s="6">
        <f>'Loan Amortization Table'!C19</f>
        <v>402.3217628590653</v>
      </c>
      <c r="J18" s="6">
        <f>'Loan Amortization Table'!C20</f>
        <v>405.3391760805082</v>
      </c>
    </row>
    <row r="19" spans="3:10">
      <c r="C19" s="12" t="s">
        <v>25</v>
      </c>
      <c r="D19" s="13">
        <f>$I$44/12</f>
        <v>438.08333333333331</v>
      </c>
      <c r="E19" s="13">
        <f t="shared" ref="E19:J19" si="4">$I$44/12</f>
        <v>438.08333333333331</v>
      </c>
      <c r="F19" s="13">
        <f t="shared" si="4"/>
        <v>438.08333333333331</v>
      </c>
      <c r="G19" s="13">
        <f t="shared" si="4"/>
        <v>438.08333333333331</v>
      </c>
      <c r="H19" s="13">
        <f t="shared" si="4"/>
        <v>438.08333333333331</v>
      </c>
      <c r="I19" s="13">
        <f t="shared" si="4"/>
        <v>438.08333333333331</v>
      </c>
      <c r="J19" s="13">
        <f t="shared" si="4"/>
        <v>438.08333333333331</v>
      </c>
    </row>
    <row r="20" spans="3:10">
      <c r="C20" s="31" t="s">
        <v>33</v>
      </c>
      <c r="D20" s="6">
        <f>I45</f>
        <v>56000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56825.651636460207</v>
      </c>
      <c r="E22" s="26">
        <f t="shared" ref="E22:J22" si="5">SUM(E18:E21)</f>
        <v>828.55839873365608</v>
      </c>
      <c r="F22" s="26">
        <f t="shared" si="5"/>
        <v>831.48696172415839</v>
      </c>
      <c r="G22" s="26">
        <f t="shared" si="5"/>
        <v>834.43748893708971</v>
      </c>
      <c r="H22" s="26">
        <f t="shared" si="5"/>
        <v>837.41014510411765</v>
      </c>
      <c r="I22" s="26">
        <f t="shared" si="5"/>
        <v>840.40509619239856</v>
      </c>
      <c r="J22" s="26">
        <f t="shared" si="5"/>
        <v>843.42250941384145</v>
      </c>
    </row>
    <row r="23" spans="3:10">
      <c r="C23" s="30"/>
    </row>
    <row r="24" spans="3:10">
      <c r="C24" s="42" t="s">
        <v>27</v>
      </c>
      <c r="D24" s="25">
        <f>D15-D22</f>
        <v>41320.614436694035</v>
      </c>
      <c r="E24" s="25">
        <f t="shared" ref="E24:J24" si="6">E15-E22</f>
        <v>7360.2580080172011</v>
      </c>
      <c r="F24" s="25">
        <f t="shared" si="6"/>
        <v>7399.901579340356</v>
      </c>
      <c r="G24" s="25">
        <f t="shared" si="6"/>
        <v>7439.545150663509</v>
      </c>
      <c r="H24" s="25">
        <f t="shared" si="6"/>
        <v>7479.188721986663</v>
      </c>
      <c r="I24" s="25">
        <f t="shared" si="6"/>
        <v>7518.8322933098189</v>
      </c>
      <c r="J24" s="25">
        <f t="shared" si="6"/>
        <v>7558.4758646329719</v>
      </c>
    </row>
    <row r="25" spans="3:10">
      <c r="C25" s="42" t="s">
        <v>6</v>
      </c>
      <c r="D25" s="25">
        <f>D24</f>
        <v>41320.614436694035</v>
      </c>
      <c r="E25" s="25">
        <f>D25+E24</f>
        <v>48680.872444711233</v>
      </c>
      <c r="F25" s="25">
        <f t="shared" ref="F25:J25" si="7">E25+F24</f>
        <v>56080.774024051585</v>
      </c>
      <c r="G25" s="25">
        <f t="shared" si="7"/>
        <v>63520.319174715092</v>
      </c>
      <c r="H25" s="25">
        <f t="shared" si="7"/>
        <v>70999.507896701762</v>
      </c>
      <c r="I25" s="25">
        <f t="shared" si="7"/>
        <v>78518.340190011586</v>
      </c>
      <c r="J25" s="25">
        <f t="shared" si="7"/>
        <v>86076.816054644558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7818.7486558572382</v>
      </c>
      <c r="E31" s="13">
        <f>'Expanded Profit and Loss'!D56+'Expanded Profit and Loss'!D55</f>
        <v>7861.4550713296512</v>
      </c>
      <c r="F31" s="13">
        <f>'Expanded Profit and Loss'!E56+'Expanded Profit and Loss'!E55</f>
        <v>7904.1844581331825</v>
      </c>
      <c r="G31" s="13">
        <f>'Expanded Profit and Loss'!F56+'Expanded Profit and Loss'!F55</f>
        <v>7946.9369885528185</v>
      </c>
      <c r="H31" s="13">
        <f>'Expanded Profit and Loss'!G56+'Expanded Profit and Loss'!G55</f>
        <v>7989.7128361656769</v>
      </c>
      <c r="I31" s="13">
        <f>'Cash Flow Analysis'!E6</f>
        <v>93058.392967915206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15000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75000</v>
      </c>
      <c r="J35" s="30"/>
    </row>
    <row r="36" spans="3:10">
      <c r="C36" s="12" t="s">
        <v>22</v>
      </c>
      <c r="D36" s="13">
        <f>$I$36/12</f>
        <v>625.83333333333337</v>
      </c>
      <c r="E36" s="13">
        <f t="shared" ref="E36:H36" si="11">$I$36/12</f>
        <v>625.83333333333337</v>
      </c>
      <c r="F36" s="13">
        <f t="shared" si="11"/>
        <v>625.83333333333337</v>
      </c>
      <c r="G36" s="13">
        <f t="shared" si="11"/>
        <v>625.83333333333337</v>
      </c>
      <c r="H36" s="13">
        <f t="shared" si="11"/>
        <v>625.83333333333337</v>
      </c>
      <c r="I36" s="20">
        <f>'Cash Flow Analysis'!E11</f>
        <v>7510</v>
      </c>
      <c r="J36" s="30"/>
    </row>
    <row r="37" spans="3:10">
      <c r="C37" s="37" t="s">
        <v>23</v>
      </c>
      <c r="D37" s="26">
        <f>SUM(D34:D36)</f>
        <v>625.83333333333337</v>
      </c>
      <c r="E37" s="26">
        <f t="shared" ref="E37:H37" si="12">SUM(E34:E36)</f>
        <v>625.83333333333337</v>
      </c>
      <c r="F37" s="26">
        <f t="shared" si="12"/>
        <v>625.83333333333337</v>
      </c>
      <c r="G37" s="26">
        <f t="shared" si="12"/>
        <v>625.83333333333337</v>
      </c>
      <c r="H37" s="26">
        <f t="shared" si="12"/>
        <v>625.83333333333337</v>
      </c>
      <c r="I37" s="44">
        <f>'Cash Flow Analysis'!E12</f>
        <v>97510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8444.5819891905721</v>
      </c>
      <c r="E40" s="27">
        <f t="shared" ref="E40:H40" si="13">E31+E37</f>
        <v>8487.2884046629842</v>
      </c>
      <c r="F40" s="27">
        <f t="shared" si="13"/>
        <v>8530.0177914665164</v>
      </c>
      <c r="G40" s="27">
        <f t="shared" si="13"/>
        <v>8572.7703218861516</v>
      </c>
      <c r="H40" s="27">
        <f t="shared" si="13"/>
        <v>8615.5461694990099</v>
      </c>
      <c r="I40" s="36">
        <f>'Cash Flow Analysis'!E15</f>
        <v>190568.39296791522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408.37921990111204</v>
      </c>
      <c r="E43" s="6">
        <f>'Loan Amortization Table'!C22</f>
        <v>411.44206405037039</v>
      </c>
      <c r="F43" s="6">
        <f>'Loan Amortization Table'!C23</f>
        <v>414.52787953074812</v>
      </c>
      <c r="G43" s="6">
        <f>'Loan Amortization Table'!C24</f>
        <v>417.63683862722883</v>
      </c>
      <c r="H43" s="6">
        <f>'Loan Amortization Table'!C25</f>
        <v>420.76911491693295</v>
      </c>
      <c r="I43" s="6">
        <f>'Cash Flow Analysis'!E18</f>
        <v>4847.5440202585251</v>
      </c>
      <c r="J43" s="30"/>
    </row>
    <row r="44" spans="3:10">
      <c r="C44" s="12" t="s">
        <v>25</v>
      </c>
      <c r="D44" s="13">
        <f>$I$44/12</f>
        <v>438.08333333333331</v>
      </c>
      <c r="E44" s="13">
        <f t="shared" ref="E44:H44" si="14">$I$44/12</f>
        <v>438.08333333333331</v>
      </c>
      <c r="F44" s="13">
        <f t="shared" si="14"/>
        <v>438.08333333333331</v>
      </c>
      <c r="G44" s="13">
        <f t="shared" si="14"/>
        <v>438.08333333333331</v>
      </c>
      <c r="H44" s="13">
        <f t="shared" si="14"/>
        <v>438.08333333333331</v>
      </c>
      <c r="I44" s="13">
        <f>'Cash Flow Analysis'!E19</f>
        <v>5257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56000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65140.875077540637</v>
      </c>
      <c r="I46" s="13">
        <f>'Cash Flow Analysis'!E21</f>
        <v>65140.875077540637</v>
      </c>
      <c r="J46" s="30"/>
    </row>
    <row r="47" spans="3:10">
      <c r="C47" s="37" t="s">
        <v>26</v>
      </c>
      <c r="D47" s="26">
        <f>SUM(D43:D46)</f>
        <v>846.46255323444529</v>
      </c>
      <c r="E47" s="26">
        <f t="shared" ref="E47:H47" si="15">SUM(E43:E46)</f>
        <v>849.52539738370365</v>
      </c>
      <c r="F47" s="26">
        <f t="shared" si="15"/>
        <v>852.61121286408138</v>
      </c>
      <c r="G47" s="26">
        <f t="shared" si="15"/>
        <v>855.72017196056208</v>
      </c>
      <c r="H47" s="26">
        <f t="shared" si="15"/>
        <v>65999.727525790906</v>
      </c>
      <c r="I47" s="26">
        <f>'Cash Flow Analysis'!E22</f>
        <v>131245.41909779917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7598.1194359561268</v>
      </c>
      <c r="E49" s="25">
        <f t="shared" ref="E49:H49" si="16">E40-E47</f>
        <v>7637.7630072792808</v>
      </c>
      <c r="F49" s="25">
        <f t="shared" si="16"/>
        <v>7677.4065786024348</v>
      </c>
      <c r="G49" s="25">
        <f t="shared" si="16"/>
        <v>7717.0501499255897</v>
      </c>
      <c r="H49" s="25">
        <f t="shared" si="16"/>
        <v>-57384.181356291898</v>
      </c>
      <c r="I49" s="45">
        <f>'Cash Flow Analysis'!E24</f>
        <v>59322.973870116053</v>
      </c>
      <c r="J49" s="30"/>
    </row>
    <row r="50" spans="3:10">
      <c r="C50" s="42" t="s">
        <v>6</v>
      </c>
      <c r="D50" s="25">
        <f>J25+D49</f>
        <v>93674.935490600677</v>
      </c>
      <c r="E50" s="25">
        <f>D50+E49</f>
        <v>101312.69849787996</v>
      </c>
      <c r="F50" s="25">
        <f t="shared" ref="F50:H50" si="17">E50+F49</f>
        <v>108990.10507648239</v>
      </c>
      <c r="G50" s="25">
        <f t="shared" si="17"/>
        <v>116707.15522640798</v>
      </c>
      <c r="H50" s="25">
        <f t="shared" si="17"/>
        <v>59322.973870116082</v>
      </c>
      <c r="I50" s="45">
        <f>'Cash Flow Analysis'!E25</f>
        <v>59322.973870116053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29873.003772459266</v>
      </c>
      <c r="E58" s="48">
        <f>'Expanded Profit and Loss'!D84+'Expanded Profit and Loss'!D83</f>
        <v>29902.050616732566</v>
      </c>
      <c r="F58" s="48">
        <f>'Expanded Profit and Loss'!E84+'Expanded Profit and Loss'!E83</f>
        <v>29931.755928911123</v>
      </c>
      <c r="G58" s="48">
        <f>'Expanded Profit and Loss'!F84+'Expanded Profit and Loss'!F83</f>
        <v>29962.134635917057</v>
      </c>
      <c r="H58" s="46">
        <f>'Cash Flow Analysis'!F6</f>
        <v>119668.94495402001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1915.05</v>
      </c>
      <c r="E63" s="49">
        <f>$H$63/4</f>
        <v>1915.05</v>
      </c>
      <c r="F63" s="49">
        <f>$H$63/4</f>
        <v>1915.05</v>
      </c>
      <c r="G63" s="49">
        <f>$H$63/4</f>
        <v>1915.05</v>
      </c>
      <c r="H63" s="13">
        <f>'Cash Flow Analysis'!F11</f>
        <v>7660.2</v>
      </c>
    </row>
    <row r="64" spans="3:10">
      <c r="C64" s="37" t="s">
        <v>23</v>
      </c>
      <c r="D64" s="51">
        <f>SUM(D61:D63)</f>
        <v>1915.05</v>
      </c>
      <c r="E64" s="51">
        <f t="shared" ref="E64:G64" si="18">SUM(E61:E63)</f>
        <v>1915.05</v>
      </c>
      <c r="F64" s="51">
        <f t="shared" si="18"/>
        <v>1915.05</v>
      </c>
      <c r="G64" s="51">
        <f t="shared" si="18"/>
        <v>1915.05</v>
      </c>
      <c r="H64" s="32">
        <f>'Cash Flow Analysis'!F12</f>
        <v>7660.2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31788.053772459265</v>
      </c>
      <c r="E67" s="48">
        <f t="shared" ref="E67:G67" si="19">E58+E64</f>
        <v>31817.100616732565</v>
      </c>
      <c r="F67" s="48">
        <f t="shared" si="19"/>
        <v>31846.805928911122</v>
      </c>
      <c r="G67" s="48">
        <f t="shared" si="19"/>
        <v>31877.184635917056</v>
      </c>
      <c r="H67" s="27">
        <f>'Cash Flow Analysis'!F15</f>
        <v>127329.14495402001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1281.3368054848875</v>
      </c>
      <c r="E70" s="50">
        <f>SUM('Loan Amortization Table'!C29:C31)</f>
        <v>1310.3836497581879</v>
      </c>
      <c r="F70" s="50">
        <f>SUM('Loan Amortization Table'!C32:C34)</f>
        <v>1340.0889619367458</v>
      </c>
      <c r="G70" s="50">
        <f>SUM('Loan Amortization Table'!C35:C37)</f>
        <v>1370.4676689426806</v>
      </c>
      <c r="H70" s="32">
        <f>'Cash Flow Analysis'!F18</f>
        <v>5302.2770861225017</v>
      </c>
    </row>
    <row r="71" spans="3:8">
      <c r="C71" s="12" t="s">
        <v>25</v>
      </c>
      <c r="D71" s="49">
        <f>$H$71/4</f>
        <v>1340.5349999999999</v>
      </c>
      <c r="E71" s="49">
        <f>$H$71/4</f>
        <v>1340.5349999999999</v>
      </c>
      <c r="F71" s="49">
        <f>$H$71/4</f>
        <v>1340.5349999999999</v>
      </c>
      <c r="G71" s="49">
        <f>$H$71/4</f>
        <v>1340.5349999999999</v>
      </c>
      <c r="H71" s="13">
        <f>'Cash Flow Analysis'!F19</f>
        <v>5362.1399999999994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83768.261467814009</v>
      </c>
      <c r="H73" s="13">
        <f>'Cash Flow Analysis'!F21</f>
        <v>83768.261467814009</v>
      </c>
    </row>
    <row r="74" spans="3:8">
      <c r="C74" s="37" t="s">
        <v>26</v>
      </c>
      <c r="D74" s="51">
        <f>SUM(D70:D73)</f>
        <v>2621.8718054848873</v>
      </c>
      <c r="E74" s="51">
        <f t="shared" ref="E74:G74" si="20">SUM(E70:E73)</f>
        <v>2650.9186497581877</v>
      </c>
      <c r="F74" s="51">
        <f t="shared" si="20"/>
        <v>2680.6239619367457</v>
      </c>
      <c r="G74" s="51">
        <f t="shared" si="20"/>
        <v>86479.264136756683</v>
      </c>
      <c r="H74" s="34">
        <f>'Cash Flow Analysis'!F22</f>
        <v>94432.678553936508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29166.181966974378</v>
      </c>
      <c r="E76" s="52">
        <f t="shared" ref="E76:G76" si="21">E67-E74</f>
        <v>29166.181966974378</v>
      </c>
      <c r="F76" s="52">
        <f t="shared" si="21"/>
        <v>29166.181966974378</v>
      </c>
      <c r="G76" s="52">
        <f t="shared" si="21"/>
        <v>-54602.079500839624</v>
      </c>
      <c r="H76" s="40">
        <f>'Cash Flow Analysis'!F24</f>
        <v>32896.466400083504</v>
      </c>
    </row>
    <row r="77" spans="3:8">
      <c r="C77" s="42" t="s">
        <v>6</v>
      </c>
      <c r="D77" s="52">
        <f>I50+D76</f>
        <v>88489.155837090424</v>
      </c>
      <c r="E77" s="52">
        <f>D77+E76</f>
        <v>117655.33780406479</v>
      </c>
      <c r="F77" s="52">
        <f t="shared" ref="F77:G77" si="22">E77+F76</f>
        <v>146821.51977103917</v>
      </c>
      <c r="G77" s="52">
        <f t="shared" si="22"/>
        <v>92219.440270199542</v>
      </c>
      <c r="H77" s="40">
        <f>'Cash Flow Analysis'!F25</f>
        <v>92219.440270199557</v>
      </c>
    </row>
    <row r="82" spans="3:16">
      <c r="C82" s="7" t="s">
        <v>66</v>
      </c>
      <c r="D82" s="7"/>
      <c r="E82" s="7"/>
      <c r="F82" s="7"/>
      <c r="G82" s="7"/>
      <c r="H82" s="7"/>
    </row>
    <row r="83" spans="3:16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16">
      <c r="C84" s="41" t="s">
        <v>67</v>
      </c>
      <c r="D84" s="48">
        <f>'Expanded Profit and Loss'!C114+'Expanded Profit and Loss'!C113</f>
        <v>37266.442948625379</v>
      </c>
      <c r="E84" s="48">
        <f>'Expanded Profit and Loss'!D114+'Expanded Profit and Loss'!D113</f>
        <v>37298.214587247086</v>
      </c>
      <c r="F84" s="48">
        <f>'Expanded Profit and Loss'!E114+'Expanded Profit and Loss'!E113</f>
        <v>37330.706462605463</v>
      </c>
      <c r="G84" s="48">
        <f>'Expanded Profit and Loss'!F114+'Expanded Profit and Loss'!F113</f>
        <v>37363.934901870874</v>
      </c>
      <c r="H84" s="27">
        <f>'Cash Flow Analysis'!G6</f>
        <v>149259.2989003488</v>
      </c>
    </row>
    <row r="85" spans="3:16">
      <c r="C85" s="30"/>
      <c r="D85" s="30"/>
      <c r="E85" s="30"/>
      <c r="F85" s="30"/>
      <c r="G85" s="30"/>
      <c r="H85" s="30"/>
    </row>
    <row r="86" spans="3:16">
      <c r="C86" s="35" t="s">
        <v>19</v>
      </c>
      <c r="D86" s="35"/>
      <c r="E86" s="35"/>
      <c r="F86" s="35"/>
      <c r="G86" s="35"/>
      <c r="H86" s="35"/>
    </row>
    <row r="87" spans="3:16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16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16">
      <c r="C89" s="12" t="s">
        <v>22</v>
      </c>
      <c r="D89" s="49">
        <f>$H$89/4</f>
        <v>1953.3509999999999</v>
      </c>
      <c r="E89" s="49">
        <f>$H$89/4</f>
        <v>1953.3509999999999</v>
      </c>
      <c r="F89" s="49">
        <f>$H$89/4</f>
        <v>1953.3509999999999</v>
      </c>
      <c r="G89" s="49">
        <f>$H$89/4</f>
        <v>1953.3509999999999</v>
      </c>
      <c r="H89" s="13">
        <f>'Cash Flow Analysis'!G12</f>
        <v>7813.4039999999995</v>
      </c>
    </row>
    <row r="90" spans="3:16">
      <c r="C90" s="37" t="s">
        <v>23</v>
      </c>
      <c r="D90" s="51">
        <f>SUM(D87:D89)</f>
        <v>1953.3509999999999</v>
      </c>
      <c r="E90" s="51">
        <f t="shared" ref="E90:G90" si="23">SUM(E87:E89)</f>
        <v>1953.3509999999999</v>
      </c>
      <c r="F90" s="51">
        <f t="shared" si="23"/>
        <v>1953.3509999999999</v>
      </c>
      <c r="G90" s="51">
        <f t="shared" si="23"/>
        <v>1953.3509999999999</v>
      </c>
      <c r="H90" s="34">
        <f>'Cash Flow Analysis'!G12</f>
        <v>7813.4039999999995</v>
      </c>
    </row>
    <row r="91" spans="3:16">
      <c r="C91" s="30"/>
      <c r="D91" s="30"/>
      <c r="E91" s="30"/>
      <c r="F91" s="30"/>
      <c r="G91" s="30"/>
      <c r="H91" s="30"/>
      <c r="P91" s="112" t="s">
        <v>140</v>
      </c>
    </row>
    <row r="92" spans="3:16">
      <c r="C92" s="30"/>
      <c r="D92" s="30"/>
      <c r="E92" s="30"/>
      <c r="F92" s="30"/>
      <c r="G92" s="30"/>
      <c r="H92" s="30"/>
    </row>
    <row r="93" spans="3:16">
      <c r="C93" s="41" t="s">
        <v>18</v>
      </c>
      <c r="D93" s="48">
        <f>D90+D84</f>
        <v>39219.793948625382</v>
      </c>
      <c r="E93" s="48">
        <f t="shared" ref="E93:G93" si="24">E90+E84</f>
        <v>39251.565587247089</v>
      </c>
      <c r="F93" s="48">
        <f t="shared" si="24"/>
        <v>39284.057462605466</v>
      </c>
      <c r="G93" s="48">
        <f t="shared" si="24"/>
        <v>39317.285901870877</v>
      </c>
      <c r="H93" s="27">
        <f>'Cash Flow Analysis'!G15</f>
        <v>157072.70290034881</v>
      </c>
    </row>
    <row r="94" spans="3:16">
      <c r="C94" s="30"/>
      <c r="D94" s="30"/>
      <c r="E94" s="30"/>
      <c r="F94" s="30"/>
      <c r="G94" s="30"/>
      <c r="H94" s="30"/>
    </row>
    <row r="95" spans="3:16">
      <c r="C95" s="30" t="s">
        <v>24</v>
      </c>
      <c r="D95" s="30"/>
      <c r="E95" s="30"/>
      <c r="F95" s="30"/>
      <c r="G95" s="30"/>
      <c r="H95" s="30"/>
    </row>
    <row r="96" spans="3:16">
      <c r="C96" s="31" t="s">
        <v>68</v>
      </c>
      <c r="D96" s="50">
        <f>SUM('Loan Amortization Table'!C38:C40)</f>
        <v>1401.5350360790726</v>
      </c>
      <c r="E96" s="50">
        <f>SUM('Loan Amortization Table'!C41:C43)</f>
        <v>1433.3066747007836</v>
      </c>
      <c r="F96" s="50">
        <f>SUM('Loan Amortization Table'!C44:C46)</f>
        <v>1465.7985500591603</v>
      </c>
      <c r="G96" s="50">
        <f>SUM('Loan Amortization Table'!C47:C49)</f>
        <v>1499.026989324577</v>
      </c>
      <c r="H96" s="32">
        <f>'Cash Flow Analysis'!G18</f>
        <v>5799.6672501635931</v>
      </c>
    </row>
    <row r="97" spans="3:8">
      <c r="C97" s="12" t="s">
        <v>25</v>
      </c>
      <c r="D97" s="49">
        <f>$H$97/4</f>
        <v>1367.3456999999999</v>
      </c>
      <c r="E97" s="49">
        <f t="shared" ref="E97:G97" si="25">$H$97/4</f>
        <v>1367.3456999999999</v>
      </c>
      <c r="F97" s="49">
        <f t="shared" si="25"/>
        <v>1367.3456999999999</v>
      </c>
      <c r="G97" s="49">
        <f t="shared" si="25"/>
        <v>1367.3456999999999</v>
      </c>
      <c r="H97" s="13">
        <f>'Cash Flow Analysis'!G19</f>
        <v>5469.3827999999994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104481.50923024416</v>
      </c>
      <c r="H99" s="13">
        <f>'Cash Flow Analysis'!G21</f>
        <v>104481.50923024416</v>
      </c>
    </row>
    <row r="100" spans="3:8">
      <c r="C100" s="37" t="s">
        <v>26</v>
      </c>
      <c r="D100" s="51">
        <f>SUM(D96:D99)</f>
        <v>2768.8807360790724</v>
      </c>
      <c r="E100" s="51">
        <f t="shared" ref="E100:G100" si="26">SUM(E96:E99)</f>
        <v>2800.6523747007832</v>
      </c>
      <c r="F100" s="51">
        <f t="shared" si="26"/>
        <v>2833.1442500591602</v>
      </c>
      <c r="G100" s="51">
        <f t="shared" si="26"/>
        <v>107347.88191956874</v>
      </c>
      <c r="H100" s="34">
        <f>'Cash Flow Analysis'!G22</f>
        <v>115750.55928040776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36450.913212546307</v>
      </c>
      <c r="E102" s="52">
        <f t="shared" ref="E102:G102" si="27">E93-E100</f>
        <v>36450.913212546307</v>
      </c>
      <c r="F102" s="52">
        <f t="shared" si="27"/>
        <v>36450.913212546307</v>
      </c>
      <c r="G102" s="52">
        <f t="shared" si="27"/>
        <v>-68030.596017697855</v>
      </c>
      <c r="H102" s="40">
        <f>'Cash Flow Analysis'!G24</f>
        <v>41322.143619941053</v>
      </c>
    </row>
    <row r="103" spans="3:8">
      <c r="C103" s="42" t="s">
        <v>6</v>
      </c>
      <c r="D103" s="52">
        <f>G77+D102</f>
        <v>128670.35348274585</v>
      </c>
      <c r="E103" s="52">
        <f>D103+E102</f>
        <v>165121.26669529214</v>
      </c>
      <c r="F103" s="52">
        <f t="shared" ref="F103:G103" si="28">E103+F102</f>
        <v>201572.17990783846</v>
      </c>
      <c r="G103" s="52">
        <f t="shared" si="28"/>
        <v>133541.58389014061</v>
      </c>
      <c r="H103" s="40">
        <f>'Cash Flow Analysis'!G25</f>
        <v>133541.58389014061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A3:M35"/>
  <sheetViews>
    <sheetView showGridLines="0" workbookViewId="0">
      <selection activeCell="M22" sqref="M22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0.1</v>
      </c>
      <c r="H5" s="109">
        <f>Inputs!C47</f>
        <v>0.1</v>
      </c>
      <c r="I5" s="125"/>
      <c r="J5" s="108"/>
      <c r="K5" s="109"/>
      <c r="L5" s="109"/>
      <c r="M5" s="109"/>
    </row>
    <row r="6" spans="5:13">
      <c r="E6" s="94" t="str">
        <f>Inputs!B5</f>
        <v>Notary Services</v>
      </c>
      <c r="F6" s="94">
        <f>SUM(Inputs!C32:N32)</f>
        <v>241320</v>
      </c>
      <c r="G6" s="94">
        <f t="shared" ref="G6:H15" si="0">F6*(1+G$5)</f>
        <v>265452</v>
      </c>
      <c r="H6" s="94">
        <f t="shared" si="0"/>
        <v>291997.2</v>
      </c>
      <c r="I6" s="127"/>
      <c r="J6" s="94" t="str">
        <f>E6</f>
        <v>Notary Services</v>
      </c>
      <c r="K6" s="143">
        <f>F6/$F$16</f>
        <v>0.44444444444444442</v>
      </c>
      <c r="L6" s="143">
        <f>G6/$G$16</f>
        <v>0.44444444444444442</v>
      </c>
      <c r="M6" s="143">
        <f>H6/$H$16</f>
        <v>0.44444444444444442</v>
      </c>
    </row>
    <row r="7" spans="5:13">
      <c r="E7" s="94" t="str">
        <f>Inputs!B6</f>
        <v>Travel Fees and Support Services</v>
      </c>
      <c r="F7" s="94">
        <f>SUM(Inputs!C33:N33)</f>
        <v>301650</v>
      </c>
      <c r="G7" s="94">
        <f t="shared" si="0"/>
        <v>331815</v>
      </c>
      <c r="H7" s="94">
        <f t="shared" si="0"/>
        <v>364996.50000000006</v>
      </c>
      <c r="I7" s="127"/>
      <c r="J7" s="94" t="str">
        <f t="shared" ref="J7:J15" si="1">E7</f>
        <v>Travel Fees and Support Services</v>
      </c>
      <c r="K7" s="143">
        <f t="shared" ref="K7:K15" si="2">F7/$F$16</f>
        <v>0.55555555555555558</v>
      </c>
      <c r="L7" s="143">
        <f t="shared" ref="L7:L15" si="3">G7/$G$16</f>
        <v>0.55555555555555558</v>
      </c>
      <c r="M7" s="143">
        <f t="shared" ref="M7:M15" si="4">H7/$H$16</f>
        <v>0.55555555555555558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542970</v>
      </c>
      <c r="G16" s="99">
        <f>SUM(G6:G15)</f>
        <v>597267</v>
      </c>
      <c r="H16" s="99">
        <f>SUM(H6:H15)</f>
        <v>656993.70000000007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100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0.1</v>
      </c>
      <c r="H20" s="109">
        <f>H5</f>
        <v>0.1</v>
      </c>
      <c r="I20" s="125"/>
      <c r="K20" s="125"/>
      <c r="L20" s="125"/>
      <c r="M20" s="125"/>
    </row>
    <row r="21" spans="5:13">
      <c r="E21" s="94" t="str">
        <f>E6</f>
        <v>Notary Services</v>
      </c>
      <c r="F21" s="94">
        <f>SUM(Inputs!C51:N51)</f>
        <v>12066</v>
      </c>
      <c r="G21" s="94">
        <f t="shared" ref="G21:H30" si="5">F21*(1+G$20)</f>
        <v>13272.6</v>
      </c>
      <c r="H21" s="94">
        <f t="shared" si="5"/>
        <v>14599.860000000002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Travel Fees and Support Services</v>
      </c>
      <c r="F22" s="94">
        <f>SUM(Inputs!C52:N52)</f>
        <v>15082.5</v>
      </c>
      <c r="G22" s="94">
        <f t="shared" si="5"/>
        <v>16590.75</v>
      </c>
      <c r="H22" s="94">
        <f t="shared" si="5"/>
        <v>18249.825000000001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27148.5</v>
      </c>
      <c r="G31" s="100">
        <f>SUM(G21:G30)</f>
        <v>29863.35</v>
      </c>
      <c r="H31" s="100">
        <f>SUM(H21:H30)</f>
        <v>32849.685000000005</v>
      </c>
      <c r="I31" s="127"/>
      <c r="J31" s="127"/>
      <c r="K31" s="127"/>
      <c r="L31" s="127"/>
      <c r="M31" s="127"/>
    </row>
    <row r="34" spans="1:10">
      <c r="F34" s="1"/>
      <c r="G34" s="1"/>
      <c r="H34" s="1"/>
      <c r="I34" s="1"/>
      <c r="J34" s="1"/>
    </row>
    <row r="35" spans="1:10">
      <c r="A35" s="112" t="s">
        <v>140</v>
      </c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2025-10-04T19:27:13Z</dcterms:modified>
</cp:coreProperties>
</file>