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Pack and Ship Store\"/>
    </mc:Choice>
  </mc:AlternateContent>
  <xr:revisionPtr revIDLastSave="0" documentId="13_ncr:1_{91C82D4C-9F93-4929-BCCF-23E4AA9EDF9E}" xr6:coauthVersionLast="47" xr6:coauthVersionMax="47" xr10:uidLastSave="{00000000-0000-0000-0000-000000000000}"/>
  <bookViews>
    <workbookView xWindow="-289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3" l="1"/>
  <c r="E20" i="3"/>
  <c r="C34" i="23"/>
  <c r="H8" i="14"/>
  <c r="G8" i="14"/>
  <c r="J8" i="9"/>
  <c r="J9" i="9"/>
  <c r="J10" i="9"/>
  <c r="J11" i="9"/>
  <c r="J12" i="9"/>
  <c r="J13" i="9"/>
  <c r="J14" i="9"/>
  <c r="J15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D33" i="23" l="1"/>
  <c r="H36" i="12"/>
  <c r="H37" i="12" s="1"/>
  <c r="F19" i="3"/>
  <c r="E36" i="12"/>
  <c r="E37" i="12" s="1"/>
  <c r="E34" i="23"/>
  <c r="E53" i="23" s="1"/>
  <c r="D34" i="23"/>
  <c r="D53" i="23" s="1"/>
  <c r="D52" i="23"/>
  <c r="L35" i="7"/>
  <c r="D51" i="23"/>
  <c r="D56" i="23"/>
  <c r="D57" i="23"/>
  <c r="D59" i="23"/>
  <c r="C52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42" i="23" l="1"/>
  <c r="F52" i="23"/>
  <c r="F34" i="23"/>
  <c r="C61" i="23"/>
  <c r="C7" i="11" s="1"/>
  <c r="E61" i="23"/>
  <c r="E7" i="11" s="1"/>
  <c r="C42" i="11"/>
  <c r="F26" i="9"/>
  <c r="F42" i="11"/>
  <c r="D61" i="23"/>
  <c r="D7" i="11" s="1"/>
  <c r="F28" i="9"/>
  <c r="F25" i="9"/>
  <c r="F29" i="9"/>
  <c r="D42" i="11"/>
  <c r="F30" i="9"/>
  <c r="F27" i="9"/>
  <c r="F24" i="9"/>
  <c r="D42" i="23"/>
  <c r="F51" i="23"/>
  <c r="E6" i="11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H16" i="7"/>
  <c r="C21" i="23" s="1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34" i="23" l="1"/>
  <c r="G53" i="23" s="1"/>
  <c r="F53" i="23"/>
  <c r="F61" i="23" s="1"/>
  <c r="F7" i="11" s="1"/>
  <c r="C66" i="23"/>
  <c r="D21" i="23"/>
  <c r="F17" i="2" s="1"/>
  <c r="G73" i="11" s="1"/>
  <c r="G51" i="23"/>
  <c r="E66" i="23"/>
  <c r="F42" i="23"/>
  <c r="F6" i="11" s="1"/>
  <c r="D6" i="11"/>
  <c r="D66" i="23"/>
  <c r="H32" i="23"/>
  <c r="H33" i="23" s="1"/>
  <c r="E17" i="2"/>
  <c r="D75" i="11"/>
  <c r="F75" i="11"/>
  <c r="E75" i="11"/>
  <c r="J16" i="7"/>
  <c r="E21" i="23" s="1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C75" i="11"/>
  <c r="G70" i="11"/>
  <c r="C8" i="11"/>
  <c r="B16" i="8"/>
  <c r="A17" i="8"/>
  <c r="H52" i="23" l="1"/>
  <c r="H34" i="23"/>
  <c r="H53" i="23" s="1"/>
  <c r="F66" i="23"/>
  <c r="G42" i="23"/>
  <c r="G52" i="23"/>
  <c r="H51" i="23"/>
  <c r="M34" i="7"/>
  <c r="M33" i="7"/>
  <c r="M35" i="7"/>
  <c r="M31" i="7"/>
  <c r="M32" i="7"/>
  <c r="I32" i="23"/>
  <c r="I33" i="23" s="1"/>
  <c r="H45" i="11"/>
  <c r="G17" i="2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34" i="23" l="1"/>
  <c r="I51" i="23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J52" i="23" l="1"/>
  <c r="J34" i="23"/>
  <c r="J53" i="23" s="1"/>
  <c r="I53" i="23"/>
  <c r="G66" i="23"/>
  <c r="H66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K52" i="23" l="1"/>
  <c r="K34" i="23"/>
  <c r="J42" i="23"/>
  <c r="C34" i="11" s="1"/>
  <c r="I61" i="23"/>
  <c r="I7" i="11" s="1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2" i="23" l="1"/>
  <c r="L34" i="23"/>
  <c r="L53" i="23" s="1"/>
  <c r="K53" i="23"/>
  <c r="L51" i="23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M52" i="23" l="1"/>
  <c r="M34" i="23"/>
  <c r="K61" i="23"/>
  <c r="D35" i="11" s="1"/>
  <c r="L61" i="23"/>
  <c r="E35" i="11" s="1"/>
  <c r="L42" i="23"/>
  <c r="E34" i="11" s="1"/>
  <c r="M51" i="23"/>
  <c r="N32" i="23"/>
  <c r="N33" i="23" s="1"/>
  <c r="C38" i="11"/>
  <c r="I8" i="11"/>
  <c r="I10" i="11"/>
  <c r="E18" i="8"/>
  <c r="D19" i="8" s="1"/>
  <c r="H26" i="11" s="1"/>
  <c r="A23" i="8"/>
  <c r="B22" i="8"/>
  <c r="K66" i="23" l="1"/>
  <c r="N34" i="23"/>
  <c r="N53" i="23" s="1"/>
  <c r="M53" i="23"/>
  <c r="M61" i="23" s="1"/>
  <c r="F35" i="11" s="1"/>
  <c r="N51" i="23"/>
  <c r="F21" i="9" s="1"/>
  <c r="M42" i="23"/>
  <c r="F34" i="11" s="1"/>
  <c r="L66" i="23"/>
  <c r="F6" i="9"/>
  <c r="G30" i="9"/>
  <c r="G15" i="9"/>
  <c r="G27" i="9"/>
  <c r="G12" i="9"/>
  <c r="C36" i="11"/>
  <c r="C19" i="8"/>
  <c r="I18" i="12" s="1"/>
  <c r="I22" i="12" s="1"/>
  <c r="A24" i="8"/>
  <c r="B23" i="8"/>
  <c r="F8" i="9" l="1"/>
  <c r="G8" i="9" s="1"/>
  <c r="H8" i="9" s="1"/>
  <c r="F23" i="9"/>
  <c r="G23" i="9" s="1"/>
  <c r="H23" i="9" s="1"/>
  <c r="M66" i="23"/>
  <c r="F7" i="9"/>
  <c r="N52" i="23"/>
  <c r="N42" i="23"/>
  <c r="G6" i="9"/>
  <c r="G21" i="9"/>
  <c r="E38" i="11"/>
  <c r="G13" i="9"/>
  <c r="H12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<sst xmlns="http://schemas.openxmlformats.org/spreadsheetml/2006/main" count="322" uniqueCount="141">
  <si>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</si>
  <si>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</si>
  <si>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</si>
  <si>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</si>
  <si>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</si>
  <si>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</si>
  <si>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</si>
  <si>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</si>
  <si>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</si>
  <si>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</si>
  <si>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</si>
  <si>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</si>
  <si>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</si>
  <si>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</si>
  <si>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</si>
  <si>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</si>
  <si>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</si>
  <si>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</si>
  <si>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</si>
  <si>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</si>
  <si>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</si>
  <si>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</si>
  <si>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</si>
  <si>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</si>
  <si>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</si>
  <si>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</si>
  <si>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</si>
  <si>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</si>
  <si>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</si>
  <si>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</si>
  <si>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</si>
  <si>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</si>
  <si>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</si>
  <si>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</si>
  <si>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</si>
  <si>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</si>
  <si>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</si>
  <si>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</si>
  <si>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</si>
  <si>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</si>
  <si>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</si>
  <si>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</si>
  <si>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</si>
  <si>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</si>
  <si>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</si>
  <si>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</si>
  <si>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</si>
  <si>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</si>
  <si>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</si>
  <si>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</si>
  <si>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</si>
  <si>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</si>
  <si>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</si>
  <si>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</si>
  <si>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</si>
  <si>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</si>
  <si>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</si>
  <si>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</si>
  <si>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</si>
  <si>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</si>
  <si>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</si>
  <si>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</si>
  <si>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</si>
  <si>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</si>
  <si>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</si>
  <si>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</si>
  <si>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</si>
  <si>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</si>
  <si>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</si>
  <si>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</si>
  <si>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</si>
  <si>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</si>
  <si>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</si>
  <si>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</si>
  <si>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</si>
  <si>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</si>
  <si>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</si>
  <si>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</si>
  <si>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</si>
  <si>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</si>
  <si>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</si>
  <si>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</si>
  <si>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</si>
  <si>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</si>
  <si>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</si>
  <si>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</si>
  <si>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</si>
  <si>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</si>
  <si>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</si>
  <si>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</si>
  <si>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</si>
  <si>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</si>
  <si>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</si>
  <si>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</si>
  <si>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</si>
  <si>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</si>
  <si>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</si>
  <si>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</si>
  <si>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</si>
  <si>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</si>
  <si>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</si>
  <si>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</si>
  <si>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</si>
  <si>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</si>
  <si>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</si>
  <si>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</si>
  <si>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</si>
  <si>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</si>
  <si>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</si>
  <si>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</si>
  <si>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</si>
  <si>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</si>
  <si>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</si>
  <si>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</si>
  <si>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</si>
  <si>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Facility Costs</t>
  </si>
  <si>
    <t>Marketing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</si>
  <si>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</si>
  <si>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</si>
  <si>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</si>
  <si>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</si>
  <si>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</si>
  <si>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</si>
  <si>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</si>
  <si>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</si>
  <si>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</si>
  <si>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Furniture, Fixtures, and Equipment</t>
  </si>
  <si>
    <t>Position 5</t>
  </si>
  <si>
    <t>Shipping Services</t>
  </si>
  <si>
    <t>Packing Services</t>
  </si>
  <si>
    <t>Business Services</t>
  </si>
  <si>
    <t>Store Staff</t>
  </si>
  <si>
    <t>Store Manager</t>
  </si>
  <si>
    <t>Location Buildout</t>
  </si>
  <si>
    <t>Professional Fees</t>
  </si>
  <si>
    <t>Website Development</t>
  </si>
  <si>
    <t>Supplies</t>
  </si>
  <si>
    <t>Misc.</t>
  </si>
  <si>
    <t>Postion 7</t>
  </si>
  <si>
    <t>Postion 8</t>
  </si>
  <si>
    <t>Postion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</si>
</sst>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10" borderId="0" xfId="0" applyFill="1"/>
    <xf numFmtId="165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9" borderId="0" xfId="0" applyFill="1"/>
    <xf numFmtId="0" fontId="1" fillId="9" borderId="0" xfId="0" applyFont="1" applyFill="1"/>
    <xf numFmtId="0" fontId="0" fillId="11" borderId="1" xfId="0" applyFill="1" applyBorder="1"/>
    <xf numFmtId="164" fontId="0" fillId="11" borderId="1" xfId="0" applyNumberFormat="1" applyFill="1" applyBorder="1"/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0" fillId="13" borderId="5" xfId="0" applyFill="1" applyBorder="1"/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</cellXfs>
  <cellStyles count="2"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11468.771096005079</c:v>
                </c:pt>
                <c:pt idx="1">
                  <c:v>41970.860071700787</c:v>
                </c:pt>
                <c:pt idx="2">
                  <c:v>68631.211285945406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11813.726479580551</c:v>
                </c:pt>
                <c:pt idx="1">
                  <c:v>12667.741722002884</c:v>
                </c:pt>
                <c:pt idx="2">
                  <c:v>13583.493795352388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8028.1397672035546</c:v>
                </c:pt>
                <c:pt idx="1">
                  <c:v>29379.602050190548</c:v>
                </c:pt>
                <c:pt idx="2">
                  <c:v>48041.847900161782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11468.771096005079</c:v>
                </c:pt>
                <c:pt idx="1">
                  <c:v>41970.860071700787</c:v>
                </c:pt>
                <c:pt idx="2">
                  <c:v>68631.211285945406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58B-49A0-BD2D-FB91FAEC3D08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58B-49A0-BD2D-FB91FAEC3D0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8028.1397672035546</c:v>
                </c:pt>
                <c:pt idx="1">
                  <c:v>29379.602050190548</c:v>
                </c:pt>
                <c:pt idx="2">
                  <c:v>48041.847900161782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183643.90484922097</c:v>
                </c:pt>
                <c:pt idx="1">
                  <c:v>154803.27352041937</c:v>
                </c:pt>
                <c:pt idx="2">
                  <c:v>28840.631328801595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175616.76114872831</c:v>
                </c:pt>
                <c:pt idx="1">
                  <c:v>143784.87179841651</c:v>
                </c:pt>
                <c:pt idx="2">
                  <c:v>31831.889350311802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174704.95753915957</c:v>
                </c:pt>
                <c:pt idx="1">
                  <c:v>131883.70480306409</c:v>
                </c:pt>
                <c:pt idx="2">
                  <c:v>42821.252736095485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183643.90484922097</c:v>
                </c:pt>
                <c:pt idx="1">
                  <c:v>175616.76114872831</c:v>
                </c:pt>
                <c:pt idx="2">
                  <c:v>174704.95753915957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5-459E-9248-75A97F77D9E2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154803.27352041937</c:v>
                </c:pt>
                <c:pt idx="1">
                  <c:v>143784.87179841651</c:v>
                </c:pt>
                <c:pt idx="2">
                  <c:v>131883.70480306409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5-459E-9248-75A97F77D9E2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28840.631328801595</c:v>
                </c:pt>
                <c:pt idx="1">
                  <c:v>31831.889350311802</c:v>
                </c:pt>
                <c:pt idx="2">
                  <c:v>42821.252736095485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5-459E-9248-75A97F77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430025.37070509983</c:v>
                </c:pt>
                <c:pt idx="1">
                  <c:v>450255.66934722825</c:v>
                </c:pt>
                <c:pt idx="2">
                  <c:v>470673.0428313525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430025.37070509983</c:v>
                </c:pt>
                <c:pt idx="1">
                  <c:v>450255.66934722825</c:v>
                </c:pt>
                <c:pt idx="2">
                  <c:v>470673.0428313525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470574</c:v>
                </c:pt>
                <c:pt idx="1">
                  <c:v>564688.80000000005</c:v>
                </c:pt>
                <c:pt idx="2">
                  <c:v>649392.12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248642.87460000001</c:v>
                </c:pt>
                <c:pt idx="1">
                  <c:v>260340.13701999999</c:v>
                </c:pt>
                <c:pt idx="2">
                  <c:v>272145.56707299995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23445.425399999978</c:v>
                </c:pt>
                <c:pt idx="1">
                  <c:v>66165.822980000084</c:v>
                </c:pt>
                <c:pt idx="2">
                  <c:v>103336.28692700004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470574</c:v>
                </c:pt>
                <c:pt idx="1">
                  <c:v>564688.80000000005</c:v>
                </c:pt>
                <c:pt idx="2">
                  <c:v>649392.12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317952974324811"/>
                  <c:y val="8.600959362838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0.10209092795439405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23445.425399999978</c:v>
                </c:pt>
                <c:pt idx="1">
                  <c:v>66165.822980000084</c:v>
                </c:pt>
                <c:pt idx="2">
                  <c:v>103336.28692700004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248642.87460000001</c:v>
                </c:pt>
                <c:pt idx="1">
                  <c:v>260340.13701999999</c:v>
                </c:pt>
                <c:pt idx="2">
                  <c:v>272145.56707299995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BB4-4A51-B938-A6CBA9754E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Overview'!$J$6:$J$8</c:f>
              <c:strCache>
                <c:ptCount val="3"/>
                <c:pt idx="0">
                  <c:v>Shipping Services</c:v>
                </c:pt>
                <c:pt idx="1">
                  <c:v>Packing Services</c:v>
                </c:pt>
                <c:pt idx="2">
                  <c:v>Business Services</c:v>
                </c:pt>
              </c:strCache>
            </c:strRef>
          </c:cat>
          <c:val>
            <c:numRef>
              <c:f>'Revenue Overview'!$K$6:$K$8</c:f>
              <c:numCache>
                <c:formatCode>0%</c:formatCode>
                <c:ptCount val="3"/>
                <c:pt idx="0">
                  <c:v>0.51282051282051277</c:v>
                </c:pt>
                <c:pt idx="1">
                  <c:v>0.35897435897435898</c:v>
                </c:pt>
                <c:pt idx="2">
                  <c:v>0.12820512820512819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183643.90484922097</c:v>
                </c:pt>
                <c:pt idx="1">
                  <c:v>175616.76114872831</c:v>
                </c:pt>
                <c:pt idx="2">
                  <c:v>174704.95753915957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C-4382-BF5A-4A36847940D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154803.27352041937</c:v>
                </c:pt>
                <c:pt idx="1">
                  <c:v>143784.87179841651</c:v>
                </c:pt>
                <c:pt idx="2">
                  <c:v>131883.70480306409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C-4382-BF5A-4A36847940D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28840.631328801595</c:v>
                </c:pt>
                <c:pt idx="1">
                  <c:v>31831.889350311802</c:v>
                </c:pt>
                <c:pt idx="2">
                  <c:v>42821.252736095485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C-4382-BF5A-4A368479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'Personnel - Editable'!$L$31:$L$35</c15:sqref>
                  </c15:fullRef>
                </c:ext>
              </c:extLst>
              <c:f>'Personnel - Editable'!$L$31:$L$34</c:f>
              <c:strCache>
                <c:ptCount val="4"/>
                <c:pt idx="0">
                  <c:v>Senior Management</c:v>
                </c:pt>
                <c:pt idx="1">
                  <c:v>Store Manager</c:v>
                </c:pt>
                <c:pt idx="2">
                  <c:v>Store Staff</c:v>
                </c:pt>
                <c:pt idx="3">
                  <c:v>Administrative Staff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'Personnel - Editable'!$M$31:$M$35</c15:sqref>
                  </c15:fullRef>
                </c:ext>
              </c:extLst>
              <c:f>'Personnel - Editable'!$M$31:$M$34</c:f>
              <c:numCache>
                <c:formatCode>0.0%</c:formatCode>
                <c:ptCount val="4"/>
                <c:pt idx="0">
                  <c:v>0.27397260273972601</c:v>
                </c:pt>
                <c:pt idx="1">
                  <c:v>0.24657534246575341</c:v>
                </c:pt>
                <c:pt idx="2">
                  <c:v>0.27397260273972601</c:v>
                </c:pt>
                <c:pt idx="3">
                  <c:v>0.20547945205479451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'Personnel - Editable'!$M$35</c15:sqref>
                  <c15:spPr xmlns:c15="http://schemas.microsoft.com/office/drawing/2012/chart">
                    <a:gradFill>
                      <a:gsLst>
                        <a:gs pos="0">
                          <a:schemeClr val="accent1">
                            <a:lumMod val="5000"/>
                            <a:lumOff val="95000"/>
                          </a:schemeClr>
                        </a:gs>
                        <a:gs pos="100000">
                          <a:srgbClr val="7030A0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Shipping Services</c:v>
                </c:pt>
                <c:pt idx="1">
                  <c:v>Packing 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0.51282051282051277</c:v>
                </c:pt>
                <c:pt idx="1">
                  <c:v>0.35897435897435898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5E3-4FAE-BF1B-150D998FA8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5E3-4FAE-BF1B-150D998FA8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5E3-4FAE-BF1B-150D998FA8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Funds'!$D$6:$D$12</c:f>
              <c:strCache>
                <c:ptCount val="7"/>
                <c:pt idx="0">
                  <c:v>Furniture, Fixtures, and Equipment</c:v>
                </c:pt>
                <c:pt idx="1">
                  <c:v>Location Buildout</c:v>
                </c:pt>
                <c:pt idx="2">
                  <c:v>Professional Fees</c:v>
                </c:pt>
                <c:pt idx="3">
                  <c:v>Website Development</c:v>
                </c:pt>
                <c:pt idx="4">
                  <c:v>Working Capital</c:v>
                </c:pt>
                <c:pt idx="5">
                  <c:v>Supplies</c:v>
                </c:pt>
                <c:pt idx="6">
                  <c:v>Misc.</c:v>
                </c:pt>
              </c:strCache>
            </c:strRef>
          </c:cat>
          <c:val>
            <c:numRef>
              <c:f>'Use of Funds'!$E$6:$E$12</c:f>
              <c:numCache>
                <c:formatCode>"$"#,##0</c:formatCode>
                <c:ptCount val="7"/>
                <c:pt idx="0">
                  <c:v>30000</c:v>
                </c:pt>
                <c:pt idx="1">
                  <c:v>50000</c:v>
                </c:pt>
                <c:pt idx="2">
                  <c:v>5000</c:v>
                </c:pt>
                <c:pt idx="3">
                  <c:v>3500</c:v>
                </c:pt>
                <c:pt idx="4">
                  <c:v>101500</c:v>
                </c:pt>
                <c:pt idx="5">
                  <c:v>7500</c:v>
                </c:pt>
                <c:pt idx="6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470574</c:v>
                </c:pt>
                <c:pt idx="1">
                  <c:v>564688.80000000005</c:v>
                </c:pt>
                <c:pt idx="2">
                  <c:v>649392.12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248642.87460000001</c:v>
                </c:pt>
                <c:pt idx="1">
                  <c:v>260340.13701999999</c:v>
                </c:pt>
                <c:pt idx="2">
                  <c:v>272145.56707299995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23445.425399999978</c:v>
                </c:pt>
                <c:pt idx="1">
                  <c:v>66165.822980000084</c:v>
                </c:pt>
                <c:pt idx="2">
                  <c:v>103336.28692700004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470574</c:v>
                </c:pt>
                <c:pt idx="1">
                  <c:v>564688.80000000005</c:v>
                </c:pt>
                <c:pt idx="2">
                  <c:v>649392.12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23445.425399999978</c:v>
                </c:pt>
                <c:pt idx="1">
                  <c:v>66165.822980000084</c:v>
                </c:pt>
                <c:pt idx="2">
                  <c:v>103336.28692700004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248642.87460000001</c:v>
                </c:pt>
                <c:pt idx="1">
                  <c:v>260340.13701999999</c:v>
                </c:pt>
                <c:pt idx="2">
                  <c:v>272145.56707299995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11468.771096005079</c:v>
                </c:pt>
                <c:pt idx="1">
                  <c:v>41970.860071700787</c:v>
                </c:pt>
                <c:pt idx="2">
                  <c:v>68631.211285945406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11813.726479580551</c:v>
                </c:pt>
                <c:pt idx="1">
                  <c:v>12667.741722002884</c:v>
                </c:pt>
                <c:pt idx="2">
                  <c:v>13583.493795352388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8028.1397672035546</c:v>
                </c:pt>
                <c:pt idx="1">
                  <c:v>29379.602050190548</c:v>
                </c:pt>
                <c:pt idx="2">
                  <c:v>48041.847900161782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11468.771096005079</c:v>
                </c:pt>
                <c:pt idx="1">
                  <c:v>41970.860071700787</c:v>
                </c:pt>
                <c:pt idx="2">
                  <c:v>68631.211285945406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4AC-4107-BF7C-22FC1BF3EF12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4AC-4107-BF7C-22FC1BF3EF1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8028.1397672035546</c:v>
                </c:pt>
                <c:pt idx="1">
                  <c:v>29379.602050190548</c:v>
                </c:pt>
                <c:pt idx="2">
                  <c:v>48041.847900161782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552450</xdr:colOff>
      <xdr:row>2</xdr:row>
      <xdr:rowOff>76200</xdr:rowOff>
    </xdr:from>
    <xdr:to>
      <xdr:col>21</xdr:col>
      <xdr:colOff>104773</xdr:colOff>
      <xdr:row>12</xdr:row>
      <xdr:rowOff>171448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FECFE5-A343-4799-936C-CA7D6D878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600075</xdr:colOff>
      <xdr:row>29</xdr:row>
      <xdr:rowOff>142875</xdr:rowOff>
    </xdr:from>
    <xdr:to>
      <xdr:col>20</xdr:col>
      <xdr:colOff>66128</xdr:colOff>
      <xdr:row>41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48F414-7B7F-223D-19D0-4C47F335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0" y="56673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561975</xdr:colOff>
      <xdr:row>1</xdr:row>
      <xdr:rowOff>57150</xdr:rowOff>
    </xdr:from>
    <xdr:to>
      <xdr:col>22</xdr:col>
      <xdr:colOff>28028</xdr:colOff>
      <xdr:row>12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2E8B1C-5446-48C0-8F46-0AF39FFA9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2476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133350</xdr:colOff>
      <xdr:row>1</xdr:row>
      <xdr:rowOff>76200</xdr:rowOff>
    </xdr:from>
    <xdr:to>
      <xdr:col>26</xdr:col>
      <xdr:colOff>209003</xdr:colOff>
      <xdr:row>12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4493C-3656-4AAA-95CF-D3C2EE48A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2667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95250</xdr:colOff>
      <xdr:row>0</xdr:row>
      <xdr:rowOff>85725</xdr:rowOff>
    </xdr:from>
    <xdr:to>
      <xdr:col>26</xdr:col>
      <xdr:colOff>170903</xdr:colOff>
      <xdr:row>11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866DE-2387-462E-ACA5-A7E97DB8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857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266700</xdr:colOff>
      <xdr:row>1</xdr:row>
      <xdr:rowOff>152400</xdr:rowOff>
    </xdr:from>
    <xdr:to>
      <xdr:col>26</xdr:col>
      <xdr:colOff>342353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DAC87-1FA8-426C-ABD4-E31E16AA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3429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228600</xdr:colOff>
      <xdr:row>29</xdr:row>
      <xdr:rowOff>28575</xdr:rowOff>
    </xdr:from>
    <xdr:to>
      <xdr:col>16</xdr:col>
      <xdr:colOff>570953</xdr:colOff>
      <xdr:row>40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8BF1B3-E9FD-49E7-98E1-991F1433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2575" y="55530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762000</xdr:colOff>
      <xdr:row>16</xdr:row>
      <xdr:rowOff>9525</xdr:rowOff>
    </xdr:from>
    <xdr:to>
      <xdr:col>12</xdr:col>
      <xdr:colOff>570953</xdr:colOff>
      <xdr:row>27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E91E37-6FD2-47BD-AF48-4A5510FE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0575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3</xdr:col>
      <xdr:colOff>295275</xdr:colOff>
      <xdr:row>23</xdr:row>
      <xdr:rowOff>47625</xdr:rowOff>
    </xdr:from>
    <xdr:to>
      <xdr:col>4</xdr:col>
      <xdr:colOff>1151978</xdr:colOff>
      <xdr:row>34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B6CF27-9022-4095-9F7E-1B9B12BB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44291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571500</xdr:colOff>
      <xdr:row>0</xdr:row>
      <xdr:rowOff>28575</xdr:rowOff>
    </xdr:from>
    <xdr:to>
      <xdr:col>24</xdr:col>
      <xdr:colOff>37553</xdr:colOff>
      <xdr:row>11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8A0975-A941-4ED0-9380-F6E61471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285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171450</xdr:colOff>
      <xdr:row>1</xdr:row>
      <xdr:rowOff>38100</xdr:rowOff>
    </xdr:from>
    <xdr:to>
      <xdr:col>25</xdr:col>
      <xdr:colOff>247103</xdr:colOff>
      <xdr:row>12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B8B35-246F-4756-A530-95254393B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2286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4</xdr:row>
      <xdr:rowOff>119062</xdr:rowOff>
    </xdr:from>
    <xdr:to>
      <xdr:col>14</xdr:col>
      <xdr:colOff>161925</xdr:colOff>
      <xdr:row>19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2B4BE7-2047-C93A-B0FE-1DEE09BD4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342900</xdr:colOff>
      <xdr:row>1</xdr:row>
      <xdr:rowOff>0</xdr:rowOff>
    </xdr:from>
    <xdr:to>
      <xdr:col>24</xdr:col>
      <xdr:colOff>418553</xdr:colOff>
      <xdr:row>12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662871-BEA6-4C28-AF49-43801BFC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1905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85725</xdr:colOff>
      <xdr:row>2</xdr:row>
      <xdr:rowOff>133350</xdr:rowOff>
    </xdr:from>
    <xdr:to>
      <xdr:col>25</xdr:col>
      <xdr:colOff>161378</xdr:colOff>
      <xdr:row>14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8C0571-B7B3-4820-A972-90624BD4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5143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95250</xdr:colOff>
      <xdr:row>0</xdr:row>
      <xdr:rowOff>104775</xdr:rowOff>
    </xdr:from>
    <xdr:to>
      <xdr:col>26</xdr:col>
      <xdr:colOff>170903</xdr:colOff>
      <xdr:row>12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57E7A-378A-4F63-A5B1-FC5F5F343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047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N66"/>
  <sheetViews>
    <sheetView showGridLines="0" tabSelected="1" workbookViewId="0">
      <selection activeCell="L53" sqref="L5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06"/>
      <c r="C3" s="106"/>
      <c r="D3" s="106"/>
      <c r="E3" s="106"/>
    </row>
    <row r="4" spans="2:5">
      <c r="B4" s="150" t="s">
        <v>110</v>
      </c>
      <c r="C4" s="150" t="s">
        <v>57</v>
      </c>
      <c r="D4" s="150" t="s">
        <v>10</v>
      </c>
      <c r="E4" s="150" t="s">
        <v>8</v>
      </c>
    </row>
    <row r="5" spans="2:5">
      <c r="B5" s="4" t="s">
        <v>128</v>
      </c>
      <c r="C5" s="107">
        <v>0.6</v>
      </c>
      <c r="D5" s="107">
        <v>0.4</v>
      </c>
      <c r="E5" s="107">
        <f>C5+D5</f>
        <v>1</v>
      </c>
    </row>
    <row r="6" spans="2:5">
      <c r="B6" s="4" t="s">
        <v>129</v>
      </c>
      <c r="C6" s="107">
        <v>0.3</v>
      </c>
      <c r="D6" s="107">
        <v>0.7</v>
      </c>
      <c r="E6" s="107">
        <f t="shared" ref="E6:E12" si="0">C6+D6</f>
        <v>1</v>
      </c>
    </row>
    <row r="7" spans="2:5">
      <c r="B7" s="4" t="s">
        <v>130</v>
      </c>
      <c r="C7" s="107">
        <v>0.05</v>
      </c>
      <c r="D7" s="107">
        <v>0.95</v>
      </c>
      <c r="E7" s="107">
        <f t="shared" si="0"/>
        <v>1</v>
      </c>
    </row>
    <row r="8" spans="2:5">
      <c r="B8" s="4" t="s">
        <v>103</v>
      </c>
      <c r="C8" s="107">
        <v>0.05</v>
      </c>
      <c r="D8" s="107">
        <v>0.95</v>
      </c>
      <c r="E8" s="107">
        <f t="shared" si="0"/>
        <v>1</v>
      </c>
    </row>
    <row r="9" spans="2:5">
      <c r="B9" s="4" t="s">
        <v>104</v>
      </c>
      <c r="C9" s="107">
        <v>0.05</v>
      </c>
      <c r="D9" s="107">
        <v>0.95</v>
      </c>
      <c r="E9" s="107">
        <f t="shared" si="0"/>
        <v>1</v>
      </c>
    </row>
    <row r="10" spans="2:5">
      <c r="B10" s="4" t="s">
        <v>105</v>
      </c>
      <c r="C10" s="107">
        <v>0.05</v>
      </c>
      <c r="D10" s="107">
        <v>0.95</v>
      </c>
      <c r="E10" s="107">
        <f t="shared" si="0"/>
        <v>1</v>
      </c>
    </row>
    <row r="11" spans="2:5">
      <c r="B11" s="4" t="s">
        <v>106</v>
      </c>
      <c r="C11" s="107">
        <v>0.05</v>
      </c>
      <c r="D11" s="107">
        <v>0.95</v>
      </c>
      <c r="E11" s="107">
        <f t="shared" si="0"/>
        <v>1</v>
      </c>
    </row>
    <row r="12" spans="2:5">
      <c r="B12" s="4" t="s">
        <v>107</v>
      </c>
      <c r="C12" s="107">
        <v>0.05</v>
      </c>
      <c r="D12" s="107">
        <v>0.95</v>
      </c>
      <c r="E12" s="107">
        <f t="shared" si="0"/>
        <v>1</v>
      </c>
    </row>
    <row r="13" spans="2:5">
      <c r="B13" s="4" t="s">
        <v>108</v>
      </c>
      <c r="C13" s="107">
        <v>0.05</v>
      </c>
      <c r="D13" s="107">
        <v>0.95</v>
      </c>
      <c r="E13" s="107">
        <f t="shared" ref="E13:E14" si="1">C13+D13</f>
        <v>1</v>
      </c>
    </row>
    <row r="14" spans="2:5">
      <c r="B14" s="4" t="s">
        <v>109</v>
      </c>
      <c r="C14" s="107">
        <v>0.05</v>
      </c>
      <c r="D14" s="107">
        <v>0.95</v>
      </c>
      <c r="E14" s="107">
        <f t="shared" si="1"/>
        <v>1</v>
      </c>
    </row>
    <row r="16" spans="2:5">
      <c r="B16" s="106"/>
      <c r="C16" s="106"/>
      <c r="D16" s="106"/>
      <c r="E16" s="106"/>
    </row>
    <row r="17" spans="2:14">
      <c r="B17" s="150" t="s">
        <v>111</v>
      </c>
      <c r="C17" s="150">
        <v>1</v>
      </c>
      <c r="D17" s="150">
        <v>2</v>
      </c>
      <c r="E17" s="150">
        <v>3</v>
      </c>
    </row>
    <row r="18" spans="2:14">
      <c r="B18" s="70" t="s">
        <v>115</v>
      </c>
      <c r="C18" s="6">
        <v>24000</v>
      </c>
      <c r="D18" s="6">
        <f>C18*1.03</f>
        <v>24720</v>
      </c>
      <c r="E18" s="6">
        <f>D18*1.03</f>
        <v>25461.600000000002</v>
      </c>
    </row>
    <row r="19" spans="2:14">
      <c r="B19" s="70" t="s">
        <v>50</v>
      </c>
      <c r="C19" s="6">
        <f>'Profit and Loss Statement'!E6*0.0157</f>
        <v>7388.0117999999993</v>
      </c>
      <c r="D19" s="6">
        <f>'Profit and Loss Statement'!F6*0.0157</f>
        <v>8865.6141599999992</v>
      </c>
      <c r="E19" s="6">
        <f>'Profit and Loss Statement'!G6*0.0157</f>
        <v>10195.456284</v>
      </c>
    </row>
    <row r="20" spans="2:14">
      <c r="B20" s="70" t="s">
        <v>117</v>
      </c>
      <c r="C20" s="6">
        <f>'Profit and Loss Statement'!E6*0.0152</f>
        <v>7152.7248</v>
      </c>
      <c r="D20" s="6">
        <f>'Profit and Loss Statement'!F6*0.0152</f>
        <v>8583.269760000001</v>
      </c>
      <c r="E20" s="6">
        <f>'Profit and Loss Statement'!G6*0.0152</f>
        <v>9870.7602239999997</v>
      </c>
    </row>
    <row r="21" spans="2:14">
      <c r="B21" s="70" t="s">
        <v>49</v>
      </c>
      <c r="C21" s="6">
        <f>'Personnel - Editable'!H16*0.03</f>
        <v>5475</v>
      </c>
      <c r="D21" s="6">
        <f>'Personnel - Editable'!I16*0.03</f>
        <v>5639.25</v>
      </c>
      <c r="E21" s="6">
        <f>'Personnel - Editable'!J16*0.03</f>
        <v>5808.4274999999998</v>
      </c>
      <c r="F21" s="126"/>
      <c r="G21" s="126"/>
    </row>
    <row r="22" spans="2:14">
      <c r="B22" s="70" t="s">
        <v>116</v>
      </c>
      <c r="C22" s="6">
        <f>'Profit and Loss Statement'!E6*0.012</f>
        <v>5646.8879999999999</v>
      </c>
      <c r="D22" s="6">
        <f>'Profit and Loss Statement'!F6*0.012</f>
        <v>6776.2656000000006</v>
      </c>
      <c r="E22" s="6">
        <f>'Profit and Loss Statement'!G6*0.012</f>
        <v>7792.7054399999997</v>
      </c>
      <c r="F22" s="1"/>
      <c r="G22" s="1"/>
    </row>
    <row r="23" spans="2:14">
      <c r="B23" s="70" t="s">
        <v>1</v>
      </c>
      <c r="C23" s="6">
        <v>2519</v>
      </c>
      <c r="D23" s="6">
        <f>C23*1.35</f>
        <v>3400.65</v>
      </c>
      <c r="E23" s="6">
        <f>D23*1.35</f>
        <v>4590.8775000000005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10" t="s">
        <v>112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</row>
    <row r="31" spans="2:14">
      <c r="B31" s="148" t="s">
        <v>5</v>
      </c>
      <c r="C31" s="149">
        <v>1</v>
      </c>
      <c r="D31" s="149">
        <f>C31+1</f>
        <v>2</v>
      </c>
      <c r="E31" s="149">
        <f t="shared" ref="E31:N31" si="2">D31+1</f>
        <v>3</v>
      </c>
      <c r="F31" s="149">
        <f t="shared" si="2"/>
        <v>4</v>
      </c>
      <c r="G31" s="149">
        <f t="shared" si="2"/>
        <v>5</v>
      </c>
      <c r="H31" s="149">
        <f t="shared" si="2"/>
        <v>6</v>
      </c>
      <c r="I31" s="149">
        <f t="shared" si="2"/>
        <v>7</v>
      </c>
      <c r="J31" s="149">
        <f t="shared" si="2"/>
        <v>8</v>
      </c>
      <c r="K31" s="149">
        <f t="shared" si="2"/>
        <v>9</v>
      </c>
      <c r="L31" s="149">
        <f t="shared" si="2"/>
        <v>10</v>
      </c>
      <c r="M31" s="149">
        <f t="shared" si="2"/>
        <v>11</v>
      </c>
      <c r="N31" s="149">
        <f t="shared" si="2"/>
        <v>12</v>
      </c>
    </row>
    <row r="32" spans="2:14">
      <c r="B32" s="4" t="str">
        <f t="shared" ref="B32:B41" si="3">B5</f>
        <v>Shipping Services</v>
      </c>
      <c r="C32" s="6">
        <v>20000</v>
      </c>
      <c r="D32" s="6">
        <f>C32+20</f>
        <v>20020</v>
      </c>
      <c r="E32" s="6">
        <f t="shared" ref="E32:N32" si="4">D32+20</f>
        <v>20040</v>
      </c>
      <c r="F32" s="6">
        <f t="shared" si="4"/>
        <v>20060</v>
      </c>
      <c r="G32" s="6">
        <f t="shared" si="4"/>
        <v>20080</v>
      </c>
      <c r="H32" s="6">
        <f t="shared" si="4"/>
        <v>20100</v>
      </c>
      <c r="I32" s="6">
        <f t="shared" si="4"/>
        <v>20120</v>
      </c>
      <c r="J32" s="6">
        <f t="shared" si="4"/>
        <v>20140</v>
      </c>
      <c r="K32" s="6">
        <f t="shared" si="4"/>
        <v>20160</v>
      </c>
      <c r="L32" s="6">
        <f t="shared" si="4"/>
        <v>20180</v>
      </c>
      <c r="M32" s="6">
        <f t="shared" si="4"/>
        <v>20200</v>
      </c>
      <c r="N32" s="6">
        <f t="shared" si="4"/>
        <v>20220</v>
      </c>
    </row>
    <row r="33" spans="2:14">
      <c r="B33" s="4" t="str">
        <f t="shared" si="3"/>
        <v>Packing Services</v>
      </c>
      <c r="C33" s="6">
        <f>C32*0.7</f>
        <v>14000</v>
      </c>
      <c r="D33" s="6">
        <f t="shared" ref="D33:N33" si="5">D32*0.7</f>
        <v>14014</v>
      </c>
      <c r="E33" s="6">
        <f t="shared" si="5"/>
        <v>14028</v>
      </c>
      <c r="F33" s="6">
        <f t="shared" si="5"/>
        <v>14042</v>
      </c>
      <c r="G33" s="6">
        <f t="shared" si="5"/>
        <v>14056</v>
      </c>
      <c r="H33" s="6">
        <f t="shared" si="5"/>
        <v>14070</v>
      </c>
      <c r="I33" s="6">
        <f t="shared" si="5"/>
        <v>14084</v>
      </c>
      <c r="J33" s="6">
        <f t="shared" si="5"/>
        <v>14098</v>
      </c>
      <c r="K33" s="6">
        <f t="shared" si="5"/>
        <v>14112</v>
      </c>
      <c r="L33" s="6">
        <f t="shared" si="5"/>
        <v>14126</v>
      </c>
      <c r="M33" s="6">
        <f t="shared" si="5"/>
        <v>14140</v>
      </c>
      <c r="N33" s="6">
        <f t="shared" si="5"/>
        <v>14154</v>
      </c>
    </row>
    <row r="34" spans="2:14">
      <c r="B34" s="4" t="str">
        <f t="shared" si="3"/>
        <v>Business Services</v>
      </c>
      <c r="C34" s="6">
        <f>C32*0.25</f>
        <v>5000</v>
      </c>
      <c r="D34" s="6">
        <f t="shared" ref="D34:N34" si="6">D32*0.25</f>
        <v>5005</v>
      </c>
      <c r="E34" s="6">
        <f t="shared" si="6"/>
        <v>5010</v>
      </c>
      <c r="F34" s="6">
        <f t="shared" si="6"/>
        <v>5015</v>
      </c>
      <c r="G34" s="6">
        <f t="shared" si="6"/>
        <v>5020</v>
      </c>
      <c r="H34" s="6">
        <f t="shared" si="6"/>
        <v>5025</v>
      </c>
      <c r="I34" s="6">
        <f t="shared" si="6"/>
        <v>5030</v>
      </c>
      <c r="J34" s="6">
        <f t="shared" si="6"/>
        <v>5035</v>
      </c>
      <c r="K34" s="6">
        <f t="shared" si="6"/>
        <v>5040</v>
      </c>
      <c r="L34" s="6">
        <f t="shared" si="6"/>
        <v>5045</v>
      </c>
      <c r="M34" s="6">
        <f t="shared" si="6"/>
        <v>5050</v>
      </c>
      <c r="N34" s="6">
        <f t="shared" si="6"/>
        <v>5055</v>
      </c>
    </row>
    <row r="35" spans="2:14">
      <c r="B35" s="4" t="str">
        <f t="shared" si="3"/>
        <v>Item 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>
      <c r="B36" s="4" t="str">
        <f t="shared" si="3"/>
        <v>Item 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>
      <c r="B37" s="4" t="str">
        <f t="shared" si="3"/>
        <v>Item 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14">
      <c r="B38" s="4" t="str">
        <f t="shared" si="3"/>
        <v>Item 7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14">
      <c r="B39" s="4" t="str">
        <f t="shared" si="3"/>
        <v>Item 8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>
      <c r="B40" s="4" t="str">
        <f t="shared" si="3"/>
        <v>Item 9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>
      <c r="B41" s="4" t="str">
        <f t="shared" si="3"/>
        <v>Item 10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>
      <c r="B42" s="111" t="s">
        <v>8</v>
      </c>
      <c r="C42" s="112">
        <f>SUM(C32:C41)</f>
        <v>39000</v>
      </c>
      <c r="D42" s="112">
        <f t="shared" ref="D42:N42" si="7">SUM(D32:D41)</f>
        <v>39039</v>
      </c>
      <c r="E42" s="112">
        <f t="shared" si="7"/>
        <v>39078</v>
      </c>
      <c r="F42" s="112">
        <f t="shared" si="7"/>
        <v>39117</v>
      </c>
      <c r="G42" s="112">
        <f t="shared" si="7"/>
        <v>39156</v>
      </c>
      <c r="H42" s="112">
        <f t="shared" si="7"/>
        <v>39195</v>
      </c>
      <c r="I42" s="112">
        <f t="shared" si="7"/>
        <v>39234</v>
      </c>
      <c r="J42" s="112">
        <f t="shared" si="7"/>
        <v>39273</v>
      </c>
      <c r="K42" s="112">
        <f t="shared" si="7"/>
        <v>39312</v>
      </c>
      <c r="L42" s="112">
        <f t="shared" si="7"/>
        <v>39351</v>
      </c>
      <c r="M42" s="112">
        <f t="shared" si="7"/>
        <v>39390</v>
      </c>
      <c r="N42" s="112">
        <f t="shared" si="7"/>
        <v>39429</v>
      </c>
    </row>
    <row r="44" spans="2:14">
      <c r="B44" s="106"/>
      <c r="C44" s="106"/>
    </row>
    <row r="45" spans="2:14">
      <c r="B45" s="150" t="s">
        <v>124</v>
      </c>
      <c r="C45" s="150"/>
    </row>
    <row r="46" spans="2:14">
      <c r="B46" s="4" t="s">
        <v>3</v>
      </c>
      <c r="C46" s="17">
        <v>0.2</v>
      </c>
    </row>
    <row r="47" spans="2:14">
      <c r="B47" s="4" t="s">
        <v>4</v>
      </c>
      <c r="C47" s="17">
        <v>0.15</v>
      </c>
    </row>
    <row r="49" spans="2:14">
      <c r="B49" s="118" t="s">
        <v>57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</row>
    <row r="50" spans="2:14">
      <c r="B50" s="118" t="s">
        <v>5</v>
      </c>
      <c r="C50" s="118">
        <v>1</v>
      </c>
      <c r="D50" s="118">
        <f>C50+1</f>
        <v>2</v>
      </c>
      <c r="E50" s="118">
        <f t="shared" ref="E50:N50" si="8">D50+1</f>
        <v>3</v>
      </c>
      <c r="F50" s="118">
        <f t="shared" si="8"/>
        <v>4</v>
      </c>
      <c r="G50" s="118">
        <f t="shared" si="8"/>
        <v>5</v>
      </c>
      <c r="H50" s="118">
        <f t="shared" si="8"/>
        <v>6</v>
      </c>
      <c r="I50" s="118">
        <f t="shared" si="8"/>
        <v>7</v>
      </c>
      <c r="J50" s="118">
        <f t="shared" si="8"/>
        <v>8</v>
      </c>
      <c r="K50" s="118">
        <f t="shared" si="8"/>
        <v>9</v>
      </c>
      <c r="L50" s="118">
        <f t="shared" si="8"/>
        <v>10</v>
      </c>
      <c r="M50" s="118">
        <f t="shared" si="8"/>
        <v>11</v>
      </c>
      <c r="N50" s="118">
        <f t="shared" si="8"/>
        <v>12</v>
      </c>
    </row>
    <row r="51" spans="2:14">
      <c r="B51" s="118" t="str">
        <f t="shared" ref="B51:B60" si="9">B32</f>
        <v>Shipping Services</v>
      </c>
      <c r="C51" s="120">
        <f t="shared" ref="C51:N51" si="10">C32*($C$5/$E$5)</f>
        <v>12000</v>
      </c>
      <c r="D51" s="120">
        <f t="shared" si="10"/>
        <v>12012</v>
      </c>
      <c r="E51" s="120">
        <f t="shared" si="10"/>
        <v>12024</v>
      </c>
      <c r="F51" s="120">
        <f t="shared" si="10"/>
        <v>12036</v>
      </c>
      <c r="G51" s="120">
        <f t="shared" si="10"/>
        <v>12048</v>
      </c>
      <c r="H51" s="120">
        <f t="shared" si="10"/>
        <v>12060</v>
      </c>
      <c r="I51" s="120">
        <f t="shared" si="10"/>
        <v>12072</v>
      </c>
      <c r="J51" s="120">
        <f t="shared" si="10"/>
        <v>12084</v>
      </c>
      <c r="K51" s="120">
        <f t="shared" si="10"/>
        <v>12096</v>
      </c>
      <c r="L51" s="120">
        <f t="shared" si="10"/>
        <v>12108</v>
      </c>
      <c r="M51" s="120">
        <f t="shared" si="10"/>
        <v>12120</v>
      </c>
      <c r="N51" s="120">
        <f t="shared" si="10"/>
        <v>12132</v>
      </c>
    </row>
    <row r="52" spans="2:14">
      <c r="B52" s="118" t="str">
        <f t="shared" si="9"/>
        <v>Packing Services</v>
      </c>
      <c r="C52" s="120">
        <f t="shared" ref="C52:N52" si="11">C33*($C$6/$E$6)</f>
        <v>4200</v>
      </c>
      <c r="D52" s="120">
        <f t="shared" si="11"/>
        <v>4204.2</v>
      </c>
      <c r="E52" s="120">
        <f t="shared" si="11"/>
        <v>4208.3999999999996</v>
      </c>
      <c r="F52" s="120">
        <f t="shared" si="11"/>
        <v>4212.5999999999995</v>
      </c>
      <c r="G52" s="120">
        <f t="shared" si="11"/>
        <v>4216.8</v>
      </c>
      <c r="H52" s="120">
        <f t="shared" si="11"/>
        <v>4221</v>
      </c>
      <c r="I52" s="120">
        <f t="shared" si="11"/>
        <v>4225.2</v>
      </c>
      <c r="J52" s="120">
        <f t="shared" si="11"/>
        <v>4229.3999999999996</v>
      </c>
      <c r="K52" s="120">
        <f t="shared" si="11"/>
        <v>4233.5999999999995</v>
      </c>
      <c r="L52" s="120">
        <f t="shared" si="11"/>
        <v>4237.8</v>
      </c>
      <c r="M52" s="120">
        <f t="shared" si="11"/>
        <v>4242</v>
      </c>
      <c r="N52" s="120">
        <f t="shared" si="11"/>
        <v>4246.2</v>
      </c>
    </row>
    <row r="53" spans="2:14">
      <c r="B53" s="118" t="str">
        <f t="shared" si="9"/>
        <v>Business Services</v>
      </c>
      <c r="C53" s="120">
        <f t="shared" ref="C53:N53" si="12">C34*($C$7/$E$7)</f>
        <v>250</v>
      </c>
      <c r="D53" s="120">
        <f t="shared" si="12"/>
        <v>250.25</v>
      </c>
      <c r="E53" s="120">
        <f t="shared" si="12"/>
        <v>250.5</v>
      </c>
      <c r="F53" s="120">
        <f t="shared" si="12"/>
        <v>250.75</v>
      </c>
      <c r="G53" s="120">
        <f t="shared" si="12"/>
        <v>251</v>
      </c>
      <c r="H53" s="120">
        <f t="shared" si="12"/>
        <v>251.25</v>
      </c>
      <c r="I53" s="120">
        <f t="shared" si="12"/>
        <v>251.5</v>
      </c>
      <c r="J53" s="120">
        <f t="shared" si="12"/>
        <v>251.75</v>
      </c>
      <c r="K53" s="120">
        <f t="shared" si="12"/>
        <v>252</v>
      </c>
      <c r="L53" s="120">
        <f t="shared" si="12"/>
        <v>252.25</v>
      </c>
      <c r="M53" s="120">
        <f t="shared" si="12"/>
        <v>252.5</v>
      </c>
      <c r="N53" s="120">
        <f t="shared" si="12"/>
        <v>252.75</v>
      </c>
    </row>
    <row r="54" spans="2:14">
      <c r="B54" s="118" t="str">
        <f t="shared" si="9"/>
        <v>Item 4</v>
      </c>
      <c r="C54" s="120">
        <f t="shared" ref="C54:N54" si="13">C35*($C$8/$E$8)</f>
        <v>0</v>
      </c>
      <c r="D54" s="120">
        <f t="shared" si="13"/>
        <v>0</v>
      </c>
      <c r="E54" s="120">
        <f t="shared" si="13"/>
        <v>0</v>
      </c>
      <c r="F54" s="120">
        <f t="shared" si="13"/>
        <v>0</v>
      </c>
      <c r="G54" s="120">
        <f t="shared" si="13"/>
        <v>0</v>
      </c>
      <c r="H54" s="120">
        <f t="shared" si="13"/>
        <v>0</v>
      </c>
      <c r="I54" s="120">
        <f t="shared" si="13"/>
        <v>0</v>
      </c>
      <c r="J54" s="120">
        <f t="shared" si="13"/>
        <v>0</v>
      </c>
      <c r="K54" s="120">
        <f t="shared" si="13"/>
        <v>0</v>
      </c>
      <c r="L54" s="120">
        <f t="shared" si="13"/>
        <v>0</v>
      </c>
      <c r="M54" s="120">
        <f t="shared" si="13"/>
        <v>0</v>
      </c>
      <c r="N54" s="120">
        <f t="shared" si="13"/>
        <v>0</v>
      </c>
    </row>
    <row r="55" spans="2:14">
      <c r="B55" s="118" t="str">
        <f t="shared" si="9"/>
        <v>Item 5</v>
      </c>
      <c r="C55" s="120">
        <f t="shared" ref="C55:N55" si="14">C36*($C$9/$E$9)</f>
        <v>0</v>
      </c>
      <c r="D55" s="120">
        <f t="shared" si="14"/>
        <v>0</v>
      </c>
      <c r="E55" s="120">
        <f t="shared" si="14"/>
        <v>0</v>
      </c>
      <c r="F55" s="120">
        <f t="shared" si="14"/>
        <v>0</v>
      </c>
      <c r="G55" s="120">
        <f t="shared" si="14"/>
        <v>0</v>
      </c>
      <c r="H55" s="120">
        <f t="shared" si="14"/>
        <v>0</v>
      </c>
      <c r="I55" s="120">
        <f t="shared" si="14"/>
        <v>0</v>
      </c>
      <c r="J55" s="120">
        <f t="shared" si="14"/>
        <v>0</v>
      </c>
      <c r="K55" s="120">
        <f t="shared" si="14"/>
        <v>0</v>
      </c>
      <c r="L55" s="120">
        <f t="shared" si="14"/>
        <v>0</v>
      </c>
      <c r="M55" s="120">
        <f t="shared" si="14"/>
        <v>0</v>
      </c>
      <c r="N55" s="120">
        <f t="shared" si="14"/>
        <v>0</v>
      </c>
    </row>
    <row r="56" spans="2:14">
      <c r="B56" s="118" t="str">
        <f t="shared" si="9"/>
        <v>Item 6</v>
      </c>
      <c r="C56" s="120">
        <f t="shared" ref="C56:N56" si="15">C37*($C$10/$E$10)</f>
        <v>0</v>
      </c>
      <c r="D56" s="120">
        <f t="shared" si="15"/>
        <v>0</v>
      </c>
      <c r="E56" s="120">
        <f t="shared" si="15"/>
        <v>0</v>
      </c>
      <c r="F56" s="120">
        <f t="shared" si="15"/>
        <v>0</v>
      </c>
      <c r="G56" s="120">
        <f t="shared" si="15"/>
        <v>0</v>
      </c>
      <c r="H56" s="120">
        <f t="shared" si="15"/>
        <v>0</v>
      </c>
      <c r="I56" s="120">
        <f t="shared" si="15"/>
        <v>0</v>
      </c>
      <c r="J56" s="120">
        <f t="shared" si="15"/>
        <v>0</v>
      </c>
      <c r="K56" s="120">
        <f t="shared" si="15"/>
        <v>0</v>
      </c>
      <c r="L56" s="120">
        <f t="shared" si="15"/>
        <v>0</v>
      </c>
      <c r="M56" s="120">
        <f t="shared" si="15"/>
        <v>0</v>
      </c>
      <c r="N56" s="120">
        <f t="shared" si="15"/>
        <v>0</v>
      </c>
    </row>
    <row r="57" spans="2:14">
      <c r="B57" s="118" t="str">
        <f t="shared" si="9"/>
        <v>Item 7</v>
      </c>
      <c r="C57" s="120">
        <f t="shared" ref="C57:N57" si="16">C38*($C$11/$E$11)</f>
        <v>0</v>
      </c>
      <c r="D57" s="120">
        <f t="shared" si="16"/>
        <v>0</v>
      </c>
      <c r="E57" s="120">
        <f t="shared" si="16"/>
        <v>0</v>
      </c>
      <c r="F57" s="120">
        <f t="shared" si="16"/>
        <v>0</v>
      </c>
      <c r="G57" s="120">
        <f t="shared" si="16"/>
        <v>0</v>
      </c>
      <c r="H57" s="120">
        <f t="shared" si="16"/>
        <v>0</v>
      </c>
      <c r="I57" s="120">
        <f t="shared" si="16"/>
        <v>0</v>
      </c>
      <c r="J57" s="120">
        <f t="shared" si="16"/>
        <v>0</v>
      </c>
      <c r="K57" s="120">
        <f t="shared" si="16"/>
        <v>0</v>
      </c>
      <c r="L57" s="120">
        <f t="shared" si="16"/>
        <v>0</v>
      </c>
      <c r="M57" s="120">
        <f t="shared" si="16"/>
        <v>0</v>
      </c>
      <c r="N57" s="120">
        <f t="shared" si="16"/>
        <v>0</v>
      </c>
    </row>
    <row r="58" spans="2:14">
      <c r="B58" s="118" t="str">
        <f t="shared" si="9"/>
        <v>Item 8</v>
      </c>
      <c r="C58" s="120">
        <f t="shared" ref="C58:N58" si="17">C39*($C$12/$E$12)</f>
        <v>0</v>
      </c>
      <c r="D58" s="120">
        <f t="shared" si="17"/>
        <v>0</v>
      </c>
      <c r="E58" s="120">
        <f t="shared" si="17"/>
        <v>0</v>
      </c>
      <c r="F58" s="120">
        <f t="shared" si="17"/>
        <v>0</v>
      </c>
      <c r="G58" s="120">
        <f t="shared" si="17"/>
        <v>0</v>
      </c>
      <c r="H58" s="120">
        <f t="shared" si="17"/>
        <v>0</v>
      </c>
      <c r="I58" s="120">
        <f t="shared" si="17"/>
        <v>0</v>
      </c>
      <c r="J58" s="120">
        <f t="shared" si="17"/>
        <v>0</v>
      </c>
      <c r="K58" s="120">
        <f t="shared" si="17"/>
        <v>0</v>
      </c>
      <c r="L58" s="120">
        <f t="shared" si="17"/>
        <v>0</v>
      </c>
      <c r="M58" s="120">
        <f t="shared" si="17"/>
        <v>0</v>
      </c>
      <c r="N58" s="120">
        <f t="shared" si="17"/>
        <v>0</v>
      </c>
    </row>
    <row r="59" spans="2:14">
      <c r="B59" s="118" t="str">
        <f t="shared" si="9"/>
        <v>Item 9</v>
      </c>
      <c r="C59" s="120">
        <f t="shared" ref="C59:N59" si="18">C40*($C$13/$E$13)</f>
        <v>0</v>
      </c>
      <c r="D59" s="120">
        <f t="shared" si="18"/>
        <v>0</v>
      </c>
      <c r="E59" s="120">
        <f t="shared" si="18"/>
        <v>0</v>
      </c>
      <c r="F59" s="120">
        <f t="shared" si="18"/>
        <v>0</v>
      </c>
      <c r="G59" s="120">
        <f t="shared" si="18"/>
        <v>0</v>
      </c>
      <c r="H59" s="120">
        <f t="shared" si="18"/>
        <v>0</v>
      </c>
      <c r="I59" s="120">
        <f t="shared" si="18"/>
        <v>0</v>
      </c>
      <c r="J59" s="120">
        <f t="shared" si="18"/>
        <v>0</v>
      </c>
      <c r="K59" s="120">
        <f t="shared" si="18"/>
        <v>0</v>
      </c>
      <c r="L59" s="120">
        <f t="shared" si="18"/>
        <v>0</v>
      </c>
      <c r="M59" s="120">
        <f t="shared" si="18"/>
        <v>0</v>
      </c>
      <c r="N59" s="120">
        <f t="shared" si="18"/>
        <v>0</v>
      </c>
    </row>
    <row r="60" spans="2:14">
      <c r="B60" s="118" t="str">
        <f t="shared" si="9"/>
        <v>Item 10</v>
      </c>
      <c r="C60" s="120">
        <f t="shared" ref="C60:N60" si="19">C41*($C$14/$E$14)</f>
        <v>0</v>
      </c>
      <c r="D60" s="120">
        <f t="shared" si="19"/>
        <v>0</v>
      </c>
      <c r="E60" s="120">
        <f t="shared" si="19"/>
        <v>0</v>
      </c>
      <c r="F60" s="120">
        <f t="shared" si="19"/>
        <v>0</v>
      </c>
      <c r="G60" s="120">
        <f t="shared" si="19"/>
        <v>0</v>
      </c>
      <c r="H60" s="120">
        <f t="shared" si="19"/>
        <v>0</v>
      </c>
      <c r="I60" s="120">
        <f t="shared" si="19"/>
        <v>0</v>
      </c>
      <c r="J60" s="120">
        <f t="shared" si="19"/>
        <v>0</v>
      </c>
      <c r="K60" s="120">
        <f t="shared" si="19"/>
        <v>0</v>
      </c>
      <c r="L60" s="120">
        <f t="shared" si="19"/>
        <v>0</v>
      </c>
      <c r="M60" s="120">
        <f t="shared" si="19"/>
        <v>0</v>
      </c>
      <c r="N60" s="120">
        <f t="shared" si="19"/>
        <v>0</v>
      </c>
    </row>
    <row r="61" spans="2:14">
      <c r="B61" s="118" t="s">
        <v>8</v>
      </c>
      <c r="C61" s="120">
        <f>SUM(C51:C60)</f>
        <v>16450</v>
      </c>
      <c r="D61" s="120">
        <f t="shared" ref="D61:N61" si="20">SUM(D51:D60)</f>
        <v>16466.45</v>
      </c>
      <c r="E61" s="120">
        <f t="shared" si="20"/>
        <v>16482.900000000001</v>
      </c>
      <c r="F61" s="120">
        <f t="shared" si="20"/>
        <v>16499.349999999999</v>
      </c>
      <c r="G61" s="120">
        <f t="shared" si="20"/>
        <v>16515.8</v>
      </c>
      <c r="H61" s="120">
        <f t="shared" si="20"/>
        <v>16532.25</v>
      </c>
      <c r="I61" s="120">
        <f t="shared" si="20"/>
        <v>16548.7</v>
      </c>
      <c r="J61" s="120">
        <f t="shared" si="20"/>
        <v>16565.150000000001</v>
      </c>
      <c r="K61" s="120">
        <f t="shared" si="20"/>
        <v>16581.599999999999</v>
      </c>
      <c r="L61" s="120">
        <f t="shared" si="20"/>
        <v>16598.05</v>
      </c>
      <c r="M61" s="120">
        <f t="shared" si="20"/>
        <v>16614.5</v>
      </c>
      <c r="N61" s="120">
        <f t="shared" si="20"/>
        <v>16630.95</v>
      </c>
    </row>
    <row r="62" spans="2:14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</row>
    <row r="63" spans="2:14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</row>
    <row r="64" spans="2:14">
      <c r="B64" s="118" t="s">
        <v>10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</row>
    <row r="65" spans="2:14">
      <c r="B65" s="118" t="s">
        <v>5</v>
      </c>
      <c r="C65" s="118">
        <v>1</v>
      </c>
      <c r="D65" s="118">
        <f>C65+1</f>
        <v>2</v>
      </c>
      <c r="E65" s="118">
        <f t="shared" ref="E65:N65" si="21">D65+1</f>
        <v>3</v>
      </c>
      <c r="F65" s="118">
        <f t="shared" si="21"/>
        <v>4</v>
      </c>
      <c r="G65" s="118">
        <f t="shared" si="21"/>
        <v>5</v>
      </c>
      <c r="H65" s="118">
        <f t="shared" si="21"/>
        <v>6</v>
      </c>
      <c r="I65" s="118">
        <f t="shared" si="21"/>
        <v>7</v>
      </c>
      <c r="J65" s="118">
        <f t="shared" si="21"/>
        <v>8</v>
      </c>
      <c r="K65" s="118">
        <f t="shared" si="21"/>
        <v>9</v>
      </c>
      <c r="L65" s="118">
        <f t="shared" si="21"/>
        <v>10</v>
      </c>
      <c r="M65" s="118">
        <f t="shared" si="21"/>
        <v>11</v>
      </c>
      <c r="N65" s="118">
        <f t="shared" si="21"/>
        <v>12</v>
      </c>
    </row>
    <row r="66" spans="2:14">
      <c r="B66" s="118" t="s">
        <v>8</v>
      </c>
      <c r="C66" s="120">
        <f t="shared" ref="C66:N66" si="22">C42-C61</f>
        <v>22550</v>
      </c>
      <c r="D66" s="120">
        <f t="shared" si="22"/>
        <v>22572.55</v>
      </c>
      <c r="E66" s="120">
        <f t="shared" si="22"/>
        <v>22595.1</v>
      </c>
      <c r="F66" s="120">
        <f t="shared" si="22"/>
        <v>22617.65</v>
      </c>
      <c r="G66" s="120">
        <f t="shared" si="22"/>
        <v>22640.2</v>
      </c>
      <c r="H66" s="120">
        <f t="shared" si="22"/>
        <v>22662.75</v>
      </c>
      <c r="I66" s="120">
        <f t="shared" si="22"/>
        <v>22685.3</v>
      </c>
      <c r="J66" s="120">
        <f t="shared" si="22"/>
        <v>22707.85</v>
      </c>
      <c r="K66" s="120">
        <f t="shared" si="22"/>
        <v>22730.400000000001</v>
      </c>
      <c r="L66" s="120">
        <f t="shared" si="22"/>
        <v>22752.95</v>
      </c>
      <c r="M66" s="120">
        <f t="shared" si="22"/>
        <v>22775.5</v>
      </c>
      <c r="N66" s="120">
        <f t="shared" si="22"/>
        <v>22798.05</v>
      </c>
    </row>
  </sheetData>
  <sheetProtection algorithmName="SHA-512" hashValue="YPMkdrjT3f7A+IyovvBevvp9lVqPmTdfs+YwXzPnPv1Z/y+BeTx6NShIqnbUPVH/J9cNPyg+Om5IMj9k+IFzmg==" saltValue="4SjvHyQESusj9V2AnINBdQ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P12" sqref="P12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165000</v>
      </c>
      <c r="C5" s="55"/>
      <c r="D5" s="56" t="s">
        <v>36</v>
      </c>
      <c r="E5" s="59">
        <f>PMT(B6/B8,(B7*B8),-B5)</f>
        <v>1915.7899071072968</v>
      </c>
    </row>
    <row r="6" spans="1:5">
      <c r="A6" s="60" t="s">
        <v>39</v>
      </c>
      <c r="B6" s="54">
        <v>7.0000000000000007E-2</v>
      </c>
      <c r="C6" s="55"/>
      <c r="D6" s="56" t="s">
        <v>38</v>
      </c>
      <c r="E6" s="59">
        <f>SUM(D14:D600)</f>
        <v>64894.788852875528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1915.7899071072968</v>
      </c>
      <c r="C14" s="1">
        <f>B14-D14</f>
        <v>953.28990710729681</v>
      </c>
      <c r="D14" s="1">
        <f>(B5*($B$6/$B$8))</f>
        <v>962.5</v>
      </c>
      <c r="E14" s="1">
        <f>B5-C14</f>
        <v>164046.7100928927</v>
      </c>
    </row>
    <row r="15" spans="1:5">
      <c r="A15">
        <f>IF(($B$7*$B$8&gt;A14),IF(($B$7*$B$8)=A14,"",A14+1),"")</f>
        <v>2</v>
      </c>
      <c r="B15" s="1">
        <f>IF(A15="","",$B$14)</f>
        <v>1915.7899071072968</v>
      </c>
      <c r="C15" s="1">
        <f>IF(A15="","",B15-D15)</f>
        <v>958.8507648987561</v>
      </c>
      <c r="D15" s="1">
        <f>IF(A15="","",(E14*($B$6/$B$8)))</f>
        <v>956.93914220854072</v>
      </c>
      <c r="E15" s="1">
        <f>IF(A15="","",E14-C15)</f>
        <v>163087.85932799394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1915.7899071072968</v>
      </c>
      <c r="C16" s="1">
        <f t="shared" ref="C16:C79" si="2">IF(A16="","",B16-D16)</f>
        <v>964.44406102733217</v>
      </c>
      <c r="D16" s="1">
        <f t="shared" ref="D16:D79" si="3">IF(A16="","",(E15*($B$6/$B$8)))</f>
        <v>951.34584607996464</v>
      </c>
      <c r="E16" s="1">
        <f t="shared" ref="E16:E79" si="4">IF(A16="","",E15-C16)</f>
        <v>162123.41526696659</v>
      </c>
    </row>
    <row r="17" spans="1:5">
      <c r="A17">
        <f t="shared" si="0"/>
        <v>4</v>
      </c>
      <c r="B17" s="1">
        <f t="shared" si="1"/>
        <v>1915.7899071072968</v>
      </c>
      <c r="C17" s="1">
        <f t="shared" si="2"/>
        <v>970.06998471665827</v>
      </c>
      <c r="D17" s="1">
        <f t="shared" si="3"/>
        <v>945.71992239063854</v>
      </c>
      <c r="E17" s="1">
        <f t="shared" si="4"/>
        <v>161153.34528224994</v>
      </c>
    </row>
    <row r="18" spans="1:5">
      <c r="A18">
        <f t="shared" si="0"/>
        <v>5</v>
      </c>
      <c r="B18" s="1">
        <f t="shared" si="1"/>
        <v>1915.7899071072968</v>
      </c>
      <c r="C18" s="1">
        <f t="shared" si="2"/>
        <v>975.72872629417213</v>
      </c>
      <c r="D18" s="1">
        <f t="shared" si="3"/>
        <v>940.06118081312468</v>
      </c>
      <c r="E18" s="1">
        <f t="shared" si="4"/>
        <v>160177.61655595576</v>
      </c>
    </row>
    <row r="19" spans="1:5">
      <c r="A19">
        <f t="shared" si="0"/>
        <v>6</v>
      </c>
      <c r="B19" s="1">
        <f t="shared" si="1"/>
        <v>1915.7899071072968</v>
      </c>
      <c r="C19" s="1">
        <f t="shared" si="2"/>
        <v>981.42047719755487</v>
      </c>
      <c r="D19" s="1">
        <f t="shared" si="3"/>
        <v>934.36942990974194</v>
      </c>
      <c r="E19" s="1">
        <f t="shared" si="4"/>
        <v>159196.19607875819</v>
      </c>
    </row>
    <row r="20" spans="1:5">
      <c r="A20">
        <f t="shared" si="0"/>
        <v>7</v>
      </c>
      <c r="B20" s="1">
        <f t="shared" si="1"/>
        <v>1915.7899071072968</v>
      </c>
      <c r="C20" s="1">
        <f t="shared" si="2"/>
        <v>987.14542998120737</v>
      </c>
      <c r="D20" s="1">
        <f t="shared" si="3"/>
        <v>928.64447712608944</v>
      </c>
      <c r="E20" s="1">
        <f t="shared" si="4"/>
        <v>158209.05064877699</v>
      </c>
    </row>
    <row r="21" spans="1:5">
      <c r="A21">
        <f t="shared" si="0"/>
        <v>8</v>
      </c>
      <c r="B21" s="1">
        <f t="shared" si="1"/>
        <v>1915.7899071072968</v>
      </c>
      <c r="C21" s="1">
        <f t="shared" si="2"/>
        <v>992.90377832276431</v>
      </c>
      <c r="D21" s="1">
        <f t="shared" si="3"/>
        <v>922.8861287845325</v>
      </c>
      <c r="E21" s="1">
        <f t="shared" si="4"/>
        <v>157216.14687045422</v>
      </c>
    </row>
    <row r="22" spans="1:5">
      <c r="A22">
        <f t="shared" si="0"/>
        <v>9</v>
      </c>
      <c r="B22" s="1">
        <f t="shared" si="1"/>
        <v>1915.7899071072968</v>
      </c>
      <c r="C22" s="1">
        <f t="shared" si="2"/>
        <v>998.6957170296472</v>
      </c>
      <c r="D22" s="1">
        <f t="shared" si="3"/>
        <v>917.09419007764961</v>
      </c>
      <c r="E22" s="1">
        <f t="shared" si="4"/>
        <v>156217.45115342457</v>
      </c>
    </row>
    <row r="23" spans="1:5">
      <c r="A23">
        <f t="shared" si="0"/>
        <v>10</v>
      </c>
      <c r="B23" s="1">
        <f t="shared" si="1"/>
        <v>1915.7899071072968</v>
      </c>
      <c r="C23" s="1">
        <f t="shared" si="2"/>
        <v>1004.5214420456534</v>
      </c>
      <c r="D23" s="1">
        <f t="shared" si="3"/>
        <v>911.26846506164338</v>
      </c>
      <c r="E23" s="1">
        <f t="shared" si="4"/>
        <v>155212.92971137891</v>
      </c>
    </row>
    <row r="24" spans="1:5">
      <c r="A24">
        <f t="shared" si="0"/>
        <v>11</v>
      </c>
      <c r="B24" s="1">
        <f t="shared" si="1"/>
        <v>1915.7899071072968</v>
      </c>
      <c r="C24" s="1">
        <f t="shared" si="2"/>
        <v>1010.3811504575865</v>
      </c>
      <c r="D24" s="1">
        <f t="shared" si="3"/>
        <v>905.40875664971031</v>
      </c>
      <c r="E24" s="1">
        <f t="shared" si="4"/>
        <v>154202.54856092131</v>
      </c>
    </row>
    <row r="25" spans="1:5">
      <c r="A25">
        <f t="shared" si="0"/>
        <v>12</v>
      </c>
      <c r="B25" s="1">
        <f t="shared" si="1"/>
        <v>1915.7899071072968</v>
      </c>
      <c r="C25" s="1">
        <f t="shared" si="2"/>
        <v>1016.2750405019225</v>
      </c>
      <c r="D25" s="1">
        <f t="shared" si="3"/>
        <v>899.51486660537432</v>
      </c>
      <c r="E25" s="1">
        <f t="shared" si="4"/>
        <v>153186.27352041937</v>
      </c>
    </row>
    <row r="26" spans="1:5">
      <c r="A26">
        <f t="shared" si="0"/>
        <v>13</v>
      </c>
      <c r="B26" s="1">
        <f t="shared" si="1"/>
        <v>1915.7899071072968</v>
      </c>
      <c r="C26" s="1">
        <f t="shared" si="2"/>
        <v>1022.2033115715171</v>
      </c>
      <c r="D26" s="1">
        <f t="shared" si="3"/>
        <v>893.58659553577968</v>
      </c>
      <c r="E26" s="1">
        <f t="shared" si="4"/>
        <v>152164.07020884784</v>
      </c>
    </row>
    <row r="27" spans="1:5">
      <c r="A27">
        <f t="shared" si="0"/>
        <v>14</v>
      </c>
      <c r="B27" s="1">
        <f t="shared" si="1"/>
        <v>1915.7899071072968</v>
      </c>
      <c r="C27" s="1">
        <f t="shared" si="2"/>
        <v>1028.166164222351</v>
      </c>
      <c r="D27" s="1">
        <f t="shared" si="3"/>
        <v>887.62374288494584</v>
      </c>
      <c r="E27" s="1">
        <f t="shared" si="4"/>
        <v>151135.90404462549</v>
      </c>
    </row>
    <row r="28" spans="1:5">
      <c r="A28">
        <f t="shared" si="0"/>
        <v>15</v>
      </c>
      <c r="B28" s="1">
        <f t="shared" si="1"/>
        <v>1915.7899071072968</v>
      </c>
      <c r="C28" s="1">
        <f t="shared" si="2"/>
        <v>1034.1638001803149</v>
      </c>
      <c r="D28" s="1">
        <f t="shared" si="3"/>
        <v>881.62610692698206</v>
      </c>
      <c r="E28" s="1">
        <f t="shared" si="4"/>
        <v>150101.74024444519</v>
      </c>
    </row>
    <row r="29" spans="1:5">
      <c r="A29">
        <f t="shared" si="0"/>
        <v>16</v>
      </c>
      <c r="B29" s="1">
        <f t="shared" si="1"/>
        <v>1915.7899071072968</v>
      </c>
      <c r="C29" s="1">
        <f t="shared" si="2"/>
        <v>1040.1964223480331</v>
      </c>
      <c r="D29" s="1">
        <f t="shared" si="3"/>
        <v>875.59348475926367</v>
      </c>
      <c r="E29" s="1">
        <f t="shared" si="4"/>
        <v>149061.54382209716</v>
      </c>
    </row>
    <row r="30" spans="1:5">
      <c r="A30">
        <f t="shared" si="0"/>
        <v>17</v>
      </c>
      <c r="B30" s="1">
        <f t="shared" si="1"/>
        <v>1915.7899071072968</v>
      </c>
      <c r="C30" s="1">
        <f t="shared" si="2"/>
        <v>1046.2642348117301</v>
      </c>
      <c r="D30" s="1">
        <f t="shared" si="3"/>
        <v>869.52567229556678</v>
      </c>
      <c r="E30" s="1">
        <f t="shared" si="4"/>
        <v>148015.27958728542</v>
      </c>
    </row>
    <row r="31" spans="1:5">
      <c r="A31">
        <f t="shared" si="0"/>
        <v>18</v>
      </c>
      <c r="B31" s="1">
        <f t="shared" si="1"/>
        <v>1915.7899071072968</v>
      </c>
      <c r="C31" s="1">
        <f t="shared" si="2"/>
        <v>1052.3674428481318</v>
      </c>
      <c r="D31" s="1">
        <f t="shared" si="3"/>
        <v>863.42246425916494</v>
      </c>
      <c r="E31" s="1">
        <f t="shared" si="4"/>
        <v>146962.91214443729</v>
      </c>
    </row>
    <row r="32" spans="1:5">
      <c r="A32">
        <f t="shared" si="0"/>
        <v>19</v>
      </c>
      <c r="B32" s="1">
        <f t="shared" si="1"/>
        <v>1915.7899071072968</v>
      </c>
      <c r="C32" s="1">
        <f t="shared" si="2"/>
        <v>1058.5062529314127</v>
      </c>
      <c r="D32" s="1">
        <f t="shared" si="3"/>
        <v>857.28365417588418</v>
      </c>
      <c r="E32" s="1">
        <f t="shared" si="4"/>
        <v>145904.40589150588</v>
      </c>
    </row>
    <row r="33" spans="1:5">
      <c r="A33">
        <f t="shared" si="0"/>
        <v>20</v>
      </c>
      <c r="B33" s="1">
        <f t="shared" si="1"/>
        <v>1915.7899071072968</v>
      </c>
      <c r="C33" s="1">
        <f t="shared" si="2"/>
        <v>1064.680872740179</v>
      </c>
      <c r="D33" s="1">
        <f t="shared" si="3"/>
        <v>851.10903436711772</v>
      </c>
      <c r="E33" s="1">
        <f t="shared" si="4"/>
        <v>144839.72501876572</v>
      </c>
    </row>
    <row r="34" spans="1:5">
      <c r="A34">
        <f t="shared" si="0"/>
        <v>21</v>
      </c>
      <c r="B34" s="1">
        <f t="shared" si="1"/>
        <v>1915.7899071072968</v>
      </c>
      <c r="C34" s="1">
        <f t="shared" si="2"/>
        <v>1070.8915111644967</v>
      </c>
      <c r="D34" s="1">
        <f t="shared" si="3"/>
        <v>844.89839594280011</v>
      </c>
      <c r="E34" s="1">
        <f t="shared" si="4"/>
        <v>143768.83350760123</v>
      </c>
    </row>
    <row r="35" spans="1:5">
      <c r="A35">
        <f t="shared" si="0"/>
        <v>22</v>
      </c>
      <c r="B35" s="1">
        <f t="shared" si="1"/>
        <v>1915.7899071072968</v>
      </c>
      <c r="C35" s="1">
        <f t="shared" si="2"/>
        <v>1077.1383783129563</v>
      </c>
      <c r="D35" s="1">
        <f t="shared" si="3"/>
        <v>838.65152879434049</v>
      </c>
      <c r="E35" s="1">
        <f t="shared" si="4"/>
        <v>142691.69512928827</v>
      </c>
    </row>
    <row r="36" spans="1:5">
      <c r="A36">
        <f t="shared" si="0"/>
        <v>23</v>
      </c>
      <c r="B36" s="1">
        <f t="shared" si="1"/>
        <v>1915.7899071072968</v>
      </c>
      <c r="C36" s="1">
        <f t="shared" si="2"/>
        <v>1083.4216855197819</v>
      </c>
      <c r="D36" s="1">
        <f t="shared" si="3"/>
        <v>832.368221587515</v>
      </c>
      <c r="E36" s="1">
        <f t="shared" si="4"/>
        <v>141608.2734437685</v>
      </c>
    </row>
    <row r="37" spans="1:5">
      <c r="A37">
        <f t="shared" si="0"/>
        <v>24</v>
      </c>
      <c r="B37" s="1">
        <f t="shared" si="1"/>
        <v>1915.7899071072968</v>
      </c>
      <c r="C37" s="1">
        <f t="shared" si="2"/>
        <v>1089.7416453519804</v>
      </c>
      <c r="D37" s="1">
        <f t="shared" si="3"/>
        <v>826.04826175531628</v>
      </c>
      <c r="E37" s="1">
        <f t="shared" si="4"/>
        <v>140518.53179841652</v>
      </c>
    </row>
    <row r="38" spans="1:5">
      <c r="A38">
        <f t="shared" si="0"/>
        <v>25</v>
      </c>
      <c r="B38" s="1">
        <f t="shared" si="1"/>
        <v>1915.7899071072968</v>
      </c>
      <c r="C38" s="1">
        <f t="shared" si="2"/>
        <v>1096.0984716165337</v>
      </c>
      <c r="D38" s="1">
        <f t="shared" si="3"/>
        <v>819.69143549076307</v>
      </c>
      <c r="E38" s="1">
        <f t="shared" si="4"/>
        <v>139422.43332679998</v>
      </c>
    </row>
    <row r="39" spans="1:5">
      <c r="A39">
        <f t="shared" si="0"/>
        <v>26</v>
      </c>
      <c r="B39" s="1">
        <f t="shared" si="1"/>
        <v>1915.7899071072968</v>
      </c>
      <c r="C39" s="1">
        <f t="shared" si="2"/>
        <v>1102.4923793676303</v>
      </c>
      <c r="D39" s="1">
        <f t="shared" si="3"/>
        <v>813.29752773966652</v>
      </c>
      <c r="E39" s="1">
        <f t="shared" si="4"/>
        <v>138319.94094743233</v>
      </c>
    </row>
    <row r="40" spans="1:5">
      <c r="A40">
        <f t="shared" si="0"/>
        <v>27</v>
      </c>
      <c r="B40" s="1">
        <f t="shared" si="1"/>
        <v>1915.7899071072968</v>
      </c>
      <c r="C40" s="1">
        <f t="shared" si="2"/>
        <v>1108.9235849139413</v>
      </c>
      <c r="D40" s="1">
        <f t="shared" si="3"/>
        <v>806.86632219335536</v>
      </c>
      <c r="E40" s="1">
        <f t="shared" si="4"/>
        <v>137211.01736251838</v>
      </c>
    </row>
    <row r="41" spans="1:5">
      <c r="A41">
        <f t="shared" si="0"/>
        <v>28</v>
      </c>
      <c r="B41" s="1">
        <f t="shared" si="1"/>
        <v>1915.7899071072968</v>
      </c>
      <c r="C41" s="1">
        <f t="shared" si="2"/>
        <v>1115.3923058259395</v>
      </c>
      <c r="D41" s="1">
        <f t="shared" si="3"/>
        <v>800.39760128135731</v>
      </c>
      <c r="E41" s="1">
        <f t="shared" si="4"/>
        <v>136095.62505669243</v>
      </c>
    </row>
    <row r="42" spans="1:5">
      <c r="A42">
        <f t="shared" si="0"/>
        <v>29</v>
      </c>
      <c r="B42" s="1">
        <f t="shared" si="1"/>
        <v>1915.7899071072968</v>
      </c>
      <c r="C42" s="1">
        <f t="shared" si="2"/>
        <v>1121.8987609432575</v>
      </c>
      <c r="D42" s="1">
        <f t="shared" si="3"/>
        <v>793.89114616403924</v>
      </c>
      <c r="E42" s="1">
        <f t="shared" si="4"/>
        <v>134973.72629574916</v>
      </c>
    </row>
    <row r="43" spans="1:5">
      <c r="A43">
        <f t="shared" si="0"/>
        <v>30</v>
      </c>
      <c r="B43" s="1">
        <f t="shared" si="1"/>
        <v>1915.7899071072968</v>
      </c>
      <c r="C43" s="1">
        <f t="shared" si="2"/>
        <v>1128.4431703820933</v>
      </c>
      <c r="D43" s="1">
        <f t="shared" si="3"/>
        <v>787.34673672520353</v>
      </c>
      <c r="E43" s="1">
        <f t="shared" si="4"/>
        <v>133845.28312536707</v>
      </c>
    </row>
    <row r="44" spans="1:5">
      <c r="A44">
        <f t="shared" si="0"/>
        <v>31</v>
      </c>
      <c r="B44" s="1">
        <f t="shared" si="1"/>
        <v>1915.7899071072968</v>
      </c>
      <c r="C44" s="1">
        <f t="shared" si="2"/>
        <v>1135.0257555426556</v>
      </c>
      <c r="D44" s="1">
        <f t="shared" si="3"/>
        <v>780.76415156464134</v>
      </c>
      <c r="E44" s="1">
        <f t="shared" si="4"/>
        <v>132710.25736982442</v>
      </c>
    </row>
    <row r="45" spans="1:5">
      <c r="A45">
        <f t="shared" si="0"/>
        <v>32</v>
      </c>
      <c r="B45" s="1">
        <f t="shared" si="1"/>
        <v>1915.7899071072968</v>
      </c>
      <c r="C45" s="1">
        <f t="shared" si="2"/>
        <v>1141.6467391166543</v>
      </c>
      <c r="D45" s="1">
        <f t="shared" si="3"/>
        <v>774.1431679906425</v>
      </c>
      <c r="E45" s="1">
        <f t="shared" si="4"/>
        <v>131568.61063070776</v>
      </c>
    </row>
    <row r="46" spans="1:5">
      <c r="A46">
        <f t="shared" si="0"/>
        <v>33</v>
      </c>
      <c r="B46" s="1">
        <f t="shared" si="1"/>
        <v>1915.7899071072968</v>
      </c>
      <c r="C46" s="1">
        <f t="shared" si="2"/>
        <v>1148.3063450948348</v>
      </c>
      <c r="D46" s="1">
        <f t="shared" si="3"/>
        <v>767.4835620124619</v>
      </c>
      <c r="E46" s="1">
        <f t="shared" si="4"/>
        <v>130420.30428561292</v>
      </c>
    </row>
    <row r="47" spans="1:5">
      <c r="A47">
        <f t="shared" si="0"/>
        <v>34</v>
      </c>
      <c r="B47" s="1">
        <f t="shared" si="1"/>
        <v>1915.7899071072968</v>
      </c>
      <c r="C47" s="1">
        <f t="shared" si="2"/>
        <v>1155.0047987745547</v>
      </c>
      <c r="D47" s="1">
        <f t="shared" si="3"/>
        <v>760.78510833274208</v>
      </c>
      <c r="E47" s="1">
        <f t="shared" si="4"/>
        <v>129265.29948683837</v>
      </c>
    </row>
    <row r="48" spans="1:5">
      <c r="A48">
        <f t="shared" si="0"/>
        <v>35</v>
      </c>
      <c r="B48" s="1">
        <f t="shared" si="1"/>
        <v>1915.7899071072968</v>
      </c>
      <c r="C48" s="1">
        <f t="shared" si="2"/>
        <v>1161.7423267674062</v>
      </c>
      <c r="D48" s="1">
        <f t="shared" si="3"/>
        <v>754.04758033989049</v>
      </c>
      <c r="E48" s="1">
        <f t="shared" si="4"/>
        <v>128103.55716007097</v>
      </c>
    </row>
    <row r="49" spans="1:5">
      <c r="A49">
        <f t="shared" si="0"/>
        <v>36</v>
      </c>
      <c r="B49" s="1">
        <f t="shared" si="1"/>
        <v>1915.7899071072968</v>
      </c>
      <c r="C49" s="1">
        <f t="shared" si="2"/>
        <v>1168.5191570068828</v>
      </c>
      <c r="D49" s="1">
        <f t="shared" si="3"/>
        <v>747.27075010041403</v>
      </c>
      <c r="E49" s="1">
        <f t="shared" si="4"/>
        <v>126935.03800306408</v>
      </c>
    </row>
    <row r="50" spans="1:5">
      <c r="A50">
        <f t="shared" si="0"/>
        <v>37</v>
      </c>
      <c r="B50" s="1">
        <f t="shared" si="1"/>
        <v>1915.7899071072968</v>
      </c>
      <c r="C50" s="1">
        <f t="shared" si="2"/>
        <v>1175.3355187560896</v>
      </c>
      <c r="D50" s="1">
        <f t="shared" si="3"/>
        <v>740.45438835120717</v>
      </c>
      <c r="E50" s="1">
        <f t="shared" si="4"/>
        <v>125759.70248430799</v>
      </c>
    </row>
    <row r="51" spans="1:5">
      <c r="A51">
        <f t="shared" si="0"/>
        <v>38</v>
      </c>
      <c r="B51" s="1">
        <f t="shared" si="1"/>
        <v>1915.7899071072968</v>
      </c>
      <c r="C51" s="1">
        <f t="shared" si="2"/>
        <v>1182.1916426155003</v>
      </c>
      <c r="D51" s="1">
        <f t="shared" si="3"/>
        <v>733.59826449179661</v>
      </c>
      <c r="E51" s="1">
        <f t="shared" si="4"/>
        <v>124577.51084169248</v>
      </c>
    </row>
    <row r="52" spans="1:5">
      <c r="A52">
        <f t="shared" si="0"/>
        <v>39</v>
      </c>
      <c r="B52" s="1">
        <f t="shared" si="1"/>
        <v>1915.7899071072968</v>
      </c>
      <c r="C52" s="1">
        <f t="shared" si="2"/>
        <v>1189.0877605307574</v>
      </c>
      <c r="D52" s="1">
        <f t="shared" si="3"/>
        <v>726.70214657653946</v>
      </c>
      <c r="E52" s="1">
        <f t="shared" si="4"/>
        <v>123388.42308116172</v>
      </c>
    </row>
    <row r="53" spans="1:5">
      <c r="A53">
        <f t="shared" si="0"/>
        <v>40</v>
      </c>
      <c r="B53" s="1">
        <f t="shared" si="1"/>
        <v>1915.7899071072968</v>
      </c>
      <c r="C53" s="1">
        <f t="shared" si="2"/>
        <v>1196.0241058005201</v>
      </c>
      <c r="D53" s="1">
        <f t="shared" si="3"/>
        <v>719.76580130677667</v>
      </c>
      <c r="E53" s="1">
        <f t="shared" si="4"/>
        <v>122192.3989753612</v>
      </c>
    </row>
    <row r="54" spans="1:5">
      <c r="A54">
        <f t="shared" si="0"/>
        <v>41</v>
      </c>
      <c r="B54" s="1">
        <f t="shared" si="1"/>
        <v>1915.7899071072968</v>
      </c>
      <c r="C54" s="1">
        <f t="shared" si="2"/>
        <v>1203.0009130843564</v>
      </c>
      <c r="D54" s="1">
        <f t="shared" si="3"/>
        <v>712.7889940229403</v>
      </c>
      <c r="E54" s="1">
        <f t="shared" si="4"/>
        <v>120989.39806227684</v>
      </c>
    </row>
    <row r="55" spans="1:5">
      <c r="A55">
        <f t="shared" si="0"/>
        <v>42</v>
      </c>
      <c r="B55" s="1">
        <f t="shared" si="1"/>
        <v>1915.7899071072968</v>
      </c>
      <c r="C55" s="1">
        <f t="shared" si="2"/>
        <v>1210.018418410682</v>
      </c>
      <c r="D55" s="1">
        <f t="shared" si="3"/>
        <v>705.77148869661494</v>
      </c>
      <c r="E55" s="1">
        <f t="shared" si="4"/>
        <v>119779.37964386617</v>
      </c>
    </row>
    <row r="56" spans="1:5">
      <c r="A56">
        <f t="shared" si="0"/>
        <v>43</v>
      </c>
      <c r="B56" s="1">
        <f t="shared" si="1"/>
        <v>1915.7899071072968</v>
      </c>
      <c r="C56" s="1">
        <f t="shared" si="2"/>
        <v>1217.0768591847441</v>
      </c>
      <c r="D56" s="1">
        <f t="shared" si="3"/>
        <v>698.71304792255262</v>
      </c>
      <c r="E56" s="1">
        <f t="shared" si="4"/>
        <v>118562.30278468142</v>
      </c>
    </row>
    <row r="57" spans="1:5">
      <c r="A57">
        <f t="shared" si="0"/>
        <v>44</v>
      </c>
      <c r="B57" s="1">
        <f t="shared" si="1"/>
        <v>1915.7899071072968</v>
      </c>
      <c r="C57" s="1">
        <f t="shared" si="2"/>
        <v>1224.1764741966551</v>
      </c>
      <c r="D57" s="1">
        <f t="shared" si="3"/>
        <v>691.61343291064168</v>
      </c>
      <c r="E57" s="1">
        <f t="shared" si="4"/>
        <v>117338.12631048476</v>
      </c>
    </row>
    <row r="58" spans="1:5">
      <c r="A58">
        <f t="shared" si="0"/>
        <v>45</v>
      </c>
      <c r="B58" s="1">
        <f t="shared" si="1"/>
        <v>1915.7899071072968</v>
      </c>
      <c r="C58" s="1">
        <f t="shared" si="2"/>
        <v>1231.317503629469</v>
      </c>
      <c r="D58" s="1">
        <f t="shared" si="3"/>
        <v>684.47240347782781</v>
      </c>
      <c r="E58" s="1">
        <f t="shared" si="4"/>
        <v>116106.80880685529</v>
      </c>
    </row>
    <row r="59" spans="1:5">
      <c r="A59">
        <f t="shared" si="0"/>
        <v>46</v>
      </c>
      <c r="B59" s="1">
        <f t="shared" si="1"/>
        <v>1915.7899071072968</v>
      </c>
      <c r="C59" s="1">
        <f t="shared" si="2"/>
        <v>1238.5001890673075</v>
      </c>
      <c r="D59" s="1">
        <f t="shared" si="3"/>
        <v>677.28971803998922</v>
      </c>
      <c r="E59" s="1">
        <f t="shared" si="4"/>
        <v>114868.30861778799</v>
      </c>
    </row>
    <row r="60" spans="1:5">
      <c r="A60">
        <f t="shared" si="0"/>
        <v>47</v>
      </c>
      <c r="B60" s="1">
        <f t="shared" si="1"/>
        <v>1915.7899071072968</v>
      </c>
      <c r="C60" s="1">
        <f t="shared" si="2"/>
        <v>1245.7247735035335</v>
      </c>
      <c r="D60" s="1">
        <f t="shared" si="3"/>
        <v>670.06513360376334</v>
      </c>
      <c r="E60" s="1">
        <f t="shared" si="4"/>
        <v>113622.58384428445</v>
      </c>
    </row>
    <row r="61" spans="1:5">
      <c r="A61">
        <f t="shared" si="0"/>
        <v>48</v>
      </c>
      <c r="B61" s="1">
        <f t="shared" si="1"/>
        <v>1915.7899071072968</v>
      </c>
      <c r="C61" s="1">
        <f t="shared" si="2"/>
        <v>1252.9915013489708</v>
      </c>
      <c r="D61" s="1">
        <f t="shared" si="3"/>
        <v>662.798405758326</v>
      </c>
      <c r="E61" s="1">
        <f t="shared" si="4"/>
        <v>112369.59234293549</v>
      </c>
    </row>
    <row r="62" spans="1:5">
      <c r="A62">
        <f t="shared" si="0"/>
        <v>49</v>
      </c>
      <c r="B62" s="1">
        <f t="shared" si="1"/>
        <v>1915.7899071072968</v>
      </c>
      <c r="C62" s="1">
        <f t="shared" si="2"/>
        <v>1260.3006184401731</v>
      </c>
      <c r="D62" s="1">
        <f t="shared" si="3"/>
        <v>655.48928866712367</v>
      </c>
      <c r="E62" s="1">
        <f t="shared" si="4"/>
        <v>111109.29172449531</v>
      </c>
    </row>
    <row r="63" spans="1:5">
      <c r="A63">
        <f t="shared" si="0"/>
        <v>50</v>
      </c>
      <c r="B63" s="1">
        <f t="shared" si="1"/>
        <v>1915.7899071072968</v>
      </c>
      <c r="C63" s="1">
        <f t="shared" si="2"/>
        <v>1267.6523720477408</v>
      </c>
      <c r="D63" s="1">
        <f t="shared" si="3"/>
        <v>648.13753505955606</v>
      </c>
      <c r="E63" s="1">
        <f t="shared" si="4"/>
        <v>109841.63935244757</v>
      </c>
    </row>
    <row r="64" spans="1:5">
      <c r="A64">
        <f t="shared" si="0"/>
        <v>51</v>
      </c>
      <c r="B64" s="1">
        <f t="shared" si="1"/>
        <v>1915.7899071072968</v>
      </c>
      <c r="C64" s="1">
        <f t="shared" si="2"/>
        <v>1275.047010884686</v>
      </c>
      <c r="D64" s="1">
        <f t="shared" si="3"/>
        <v>640.74289622261085</v>
      </c>
      <c r="E64" s="1">
        <f t="shared" si="4"/>
        <v>108566.59234156288</v>
      </c>
    </row>
    <row r="65" spans="1:5">
      <c r="A65">
        <f t="shared" si="0"/>
        <v>52</v>
      </c>
      <c r="B65" s="1">
        <f t="shared" si="1"/>
        <v>1915.7899071072968</v>
      </c>
      <c r="C65" s="1">
        <f t="shared" si="2"/>
        <v>1282.4847851148465</v>
      </c>
      <c r="D65" s="1">
        <f t="shared" si="3"/>
        <v>633.30512199245015</v>
      </c>
      <c r="E65" s="1">
        <f t="shared" si="4"/>
        <v>107284.10755644803</v>
      </c>
    </row>
    <row r="66" spans="1:5">
      <c r="A66">
        <f t="shared" si="0"/>
        <v>53</v>
      </c>
      <c r="B66" s="1">
        <f t="shared" si="1"/>
        <v>1915.7899071072968</v>
      </c>
      <c r="C66" s="1">
        <f t="shared" si="2"/>
        <v>1289.96594636135</v>
      </c>
      <c r="D66" s="1">
        <f t="shared" si="3"/>
        <v>625.82396074594681</v>
      </c>
      <c r="E66" s="1">
        <f t="shared" si="4"/>
        <v>105994.14161008668</v>
      </c>
    </row>
    <row r="67" spans="1:5">
      <c r="A67">
        <f t="shared" si="0"/>
        <v>54</v>
      </c>
      <c r="B67" s="1">
        <f t="shared" si="1"/>
        <v>1915.7899071072968</v>
      </c>
      <c r="C67" s="1">
        <f t="shared" si="2"/>
        <v>1297.4907477151246</v>
      </c>
      <c r="D67" s="1">
        <f t="shared" si="3"/>
        <v>618.29915939217233</v>
      </c>
      <c r="E67" s="1">
        <f t="shared" si="4"/>
        <v>104696.65086237155</v>
      </c>
    </row>
    <row r="68" spans="1:5">
      <c r="A68">
        <f t="shared" si="0"/>
        <v>55</v>
      </c>
      <c r="B68" s="1">
        <f t="shared" si="1"/>
        <v>1915.7899071072968</v>
      </c>
      <c r="C68" s="1">
        <f t="shared" si="2"/>
        <v>1305.0594437434629</v>
      </c>
      <c r="D68" s="1">
        <f t="shared" si="3"/>
        <v>610.73046336383402</v>
      </c>
      <c r="E68" s="1">
        <f t="shared" si="4"/>
        <v>103391.59141862809</v>
      </c>
    </row>
    <row r="69" spans="1:5">
      <c r="A69">
        <f t="shared" si="0"/>
        <v>56</v>
      </c>
      <c r="B69" s="1">
        <f t="shared" si="1"/>
        <v>1915.7899071072968</v>
      </c>
      <c r="C69" s="1">
        <f t="shared" si="2"/>
        <v>1312.6722904986329</v>
      </c>
      <c r="D69" s="1">
        <f t="shared" si="3"/>
        <v>603.11761660866387</v>
      </c>
      <c r="E69" s="1">
        <f t="shared" si="4"/>
        <v>102078.91912812945</v>
      </c>
    </row>
    <row r="70" spans="1:5">
      <c r="A70">
        <f t="shared" si="0"/>
        <v>57</v>
      </c>
      <c r="B70" s="1">
        <f t="shared" si="1"/>
        <v>1915.7899071072968</v>
      </c>
      <c r="C70" s="1">
        <f t="shared" si="2"/>
        <v>1320.3295455265416</v>
      </c>
      <c r="D70" s="1">
        <f t="shared" si="3"/>
        <v>595.46036158075515</v>
      </c>
      <c r="E70" s="1">
        <f t="shared" si="4"/>
        <v>100758.5895826029</v>
      </c>
    </row>
    <row r="71" spans="1:5">
      <c r="A71">
        <f t="shared" si="0"/>
        <v>58</v>
      </c>
      <c r="B71" s="1">
        <f t="shared" si="1"/>
        <v>1915.7899071072968</v>
      </c>
      <c r="C71" s="1">
        <f t="shared" si="2"/>
        <v>1328.0314678754467</v>
      </c>
      <c r="D71" s="1">
        <f t="shared" si="3"/>
        <v>587.75843923185028</v>
      </c>
      <c r="E71" s="1">
        <f t="shared" si="4"/>
        <v>99430.55811472745</v>
      </c>
    </row>
    <row r="72" spans="1:5">
      <c r="A72">
        <f t="shared" si="0"/>
        <v>59</v>
      </c>
      <c r="B72" s="1">
        <f t="shared" si="1"/>
        <v>1915.7899071072968</v>
      </c>
      <c r="C72" s="1">
        <f t="shared" si="2"/>
        <v>1335.77831810472</v>
      </c>
      <c r="D72" s="1">
        <f t="shared" si="3"/>
        <v>580.01158900257678</v>
      </c>
      <c r="E72" s="1">
        <f t="shared" si="4"/>
        <v>98094.779796622723</v>
      </c>
    </row>
    <row r="73" spans="1:5">
      <c r="A73">
        <f t="shared" si="0"/>
        <v>60</v>
      </c>
      <c r="B73" s="1">
        <f t="shared" si="1"/>
        <v>1915.7899071072968</v>
      </c>
      <c r="C73" s="1">
        <f t="shared" si="2"/>
        <v>1343.5703582936642</v>
      </c>
      <c r="D73" s="1">
        <f t="shared" si="3"/>
        <v>572.21954881363263</v>
      </c>
      <c r="E73" s="1">
        <f t="shared" si="4"/>
        <v>96751.209438329053</v>
      </c>
    </row>
    <row r="74" spans="1:5">
      <c r="A74">
        <f t="shared" si="0"/>
        <v>61</v>
      </c>
      <c r="B74" s="1">
        <f t="shared" si="1"/>
        <v>1915.7899071072968</v>
      </c>
      <c r="C74" s="1">
        <f t="shared" si="2"/>
        <v>1351.4078520503772</v>
      </c>
      <c r="D74" s="1">
        <f t="shared" si="3"/>
        <v>564.38205505691951</v>
      </c>
      <c r="E74" s="1">
        <f t="shared" si="4"/>
        <v>95399.801586278671</v>
      </c>
    </row>
    <row r="75" spans="1:5">
      <c r="A75">
        <f t="shared" si="0"/>
        <v>62</v>
      </c>
      <c r="B75" s="1">
        <f t="shared" si="1"/>
        <v>1915.7899071072968</v>
      </c>
      <c r="C75" s="1">
        <f t="shared" si="2"/>
        <v>1359.2910645206712</v>
      </c>
      <c r="D75" s="1">
        <f t="shared" si="3"/>
        <v>556.49884258662564</v>
      </c>
      <c r="E75" s="1">
        <f t="shared" si="4"/>
        <v>94040.510521757999</v>
      </c>
    </row>
    <row r="76" spans="1:5">
      <c r="A76">
        <f t="shared" si="0"/>
        <v>63</v>
      </c>
      <c r="B76" s="1">
        <f t="shared" si="1"/>
        <v>1915.7899071072968</v>
      </c>
      <c r="C76" s="1">
        <f t="shared" si="2"/>
        <v>1367.2202623970418</v>
      </c>
      <c r="D76" s="1">
        <f t="shared" si="3"/>
        <v>548.56964471025503</v>
      </c>
      <c r="E76" s="1">
        <f t="shared" si="4"/>
        <v>92673.290259360961</v>
      </c>
    </row>
    <row r="77" spans="1:5">
      <c r="A77">
        <f t="shared" si="0"/>
        <v>64</v>
      </c>
      <c r="B77" s="1">
        <f t="shared" si="1"/>
        <v>1915.7899071072968</v>
      </c>
      <c r="C77" s="1">
        <f t="shared" si="2"/>
        <v>1375.195713927691</v>
      </c>
      <c r="D77" s="1">
        <f t="shared" si="3"/>
        <v>540.59419317960567</v>
      </c>
      <c r="E77" s="1">
        <f t="shared" si="4"/>
        <v>91298.094545433269</v>
      </c>
    </row>
    <row r="78" spans="1:5">
      <c r="A78">
        <f t="shared" si="0"/>
        <v>65</v>
      </c>
      <c r="B78" s="1">
        <f t="shared" si="1"/>
        <v>1915.7899071072968</v>
      </c>
      <c r="C78" s="1">
        <f t="shared" si="2"/>
        <v>1383.2176889256027</v>
      </c>
      <c r="D78" s="1">
        <f t="shared" si="3"/>
        <v>532.5722181816941</v>
      </c>
      <c r="E78" s="1">
        <f t="shared" si="4"/>
        <v>89914.876856507661</v>
      </c>
    </row>
    <row r="79" spans="1:5">
      <c r="A79">
        <f t="shared" si="0"/>
        <v>66</v>
      </c>
      <c r="B79" s="1">
        <f t="shared" si="1"/>
        <v>1915.7899071072968</v>
      </c>
      <c r="C79" s="1">
        <f t="shared" si="2"/>
        <v>1391.2864587776687</v>
      </c>
      <c r="D79" s="1">
        <f t="shared" si="3"/>
        <v>524.5034483296281</v>
      </c>
      <c r="E79" s="1">
        <f t="shared" si="4"/>
        <v>88523.590397729989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1915.7899071072968</v>
      </c>
      <c r="C80" s="1">
        <f t="shared" ref="C80:C143" si="7">IF(A80="","",B80-D80)</f>
        <v>1399.4022964538717</v>
      </c>
      <c r="D80" s="1">
        <f t="shared" ref="D80:D143" si="8">IF(A80="","",(E79*($B$6/$B$8)))</f>
        <v>516.38761065342499</v>
      </c>
      <c r="E80" s="1">
        <f t="shared" ref="E80:E143" si="9">IF(A80="","",E79-C80)</f>
        <v>87124.188101276115</v>
      </c>
    </row>
    <row r="81" spans="1:5">
      <c r="A81">
        <f t="shared" si="5"/>
        <v>68</v>
      </c>
      <c r="B81" s="1">
        <f t="shared" si="6"/>
        <v>1915.7899071072968</v>
      </c>
      <c r="C81" s="1">
        <f t="shared" si="7"/>
        <v>1407.5654765165195</v>
      </c>
      <c r="D81" s="1">
        <f t="shared" si="8"/>
        <v>508.22443059077739</v>
      </c>
      <c r="E81" s="1">
        <f t="shared" si="9"/>
        <v>85716.622624759591</v>
      </c>
    </row>
    <row r="82" spans="1:5">
      <c r="A82">
        <f t="shared" si="5"/>
        <v>69</v>
      </c>
      <c r="B82" s="1">
        <f t="shared" si="6"/>
        <v>1915.7899071072968</v>
      </c>
      <c r="C82" s="1">
        <f t="shared" si="7"/>
        <v>1415.7762751295325</v>
      </c>
      <c r="D82" s="1">
        <f t="shared" si="8"/>
        <v>500.01363197776431</v>
      </c>
      <c r="E82" s="1">
        <f t="shared" si="9"/>
        <v>84300.846349630054</v>
      </c>
    </row>
    <row r="83" spans="1:5">
      <c r="A83">
        <f t="shared" si="5"/>
        <v>70</v>
      </c>
      <c r="B83" s="1">
        <f t="shared" si="6"/>
        <v>1915.7899071072968</v>
      </c>
      <c r="C83" s="1">
        <f t="shared" si="7"/>
        <v>1424.0349700677882</v>
      </c>
      <c r="D83" s="1">
        <f t="shared" si="8"/>
        <v>491.75493703950866</v>
      </c>
      <c r="E83" s="1">
        <f t="shared" si="9"/>
        <v>82876.811379562263</v>
      </c>
    </row>
    <row r="84" spans="1:5">
      <c r="A84">
        <f t="shared" si="5"/>
        <v>71</v>
      </c>
      <c r="B84" s="1">
        <f t="shared" si="6"/>
        <v>1915.7899071072968</v>
      </c>
      <c r="C84" s="1">
        <f t="shared" si="7"/>
        <v>1432.3418407265169</v>
      </c>
      <c r="D84" s="1">
        <f t="shared" si="8"/>
        <v>483.44806638077989</v>
      </c>
      <c r="E84" s="1">
        <f t="shared" si="9"/>
        <v>81444.46953883575</v>
      </c>
    </row>
    <row r="85" spans="1:5">
      <c r="A85">
        <f t="shared" si="5"/>
        <v>72</v>
      </c>
      <c r="B85" s="1">
        <f t="shared" si="6"/>
        <v>1915.7899071072968</v>
      </c>
      <c r="C85" s="1">
        <f t="shared" si="7"/>
        <v>1440.697168130755</v>
      </c>
      <c r="D85" s="1">
        <f t="shared" si="8"/>
        <v>475.09273897654191</v>
      </c>
      <c r="E85" s="1">
        <f t="shared" si="9"/>
        <v>80003.772370705003</v>
      </c>
    </row>
    <row r="86" spans="1:5">
      <c r="A86">
        <f t="shared" si="5"/>
        <v>73</v>
      </c>
      <c r="B86" s="1">
        <f t="shared" si="6"/>
        <v>1915.7899071072968</v>
      </c>
      <c r="C86" s="1">
        <f t="shared" si="7"/>
        <v>1449.1012349448511</v>
      </c>
      <c r="D86" s="1">
        <f t="shared" si="8"/>
        <v>466.68867216244587</v>
      </c>
      <c r="E86" s="1">
        <f t="shared" si="9"/>
        <v>78554.671135760145</v>
      </c>
    </row>
    <row r="87" spans="1:5">
      <c r="A87">
        <f t="shared" si="5"/>
        <v>74</v>
      </c>
      <c r="B87" s="1">
        <f t="shared" si="6"/>
        <v>1915.7899071072968</v>
      </c>
      <c r="C87" s="1">
        <f t="shared" si="7"/>
        <v>1457.5543254820293</v>
      </c>
      <c r="D87" s="1">
        <f t="shared" si="8"/>
        <v>458.23558162526751</v>
      </c>
      <c r="E87" s="1">
        <f t="shared" si="9"/>
        <v>77097.116810278123</v>
      </c>
    </row>
    <row r="88" spans="1:5">
      <c r="A88">
        <f t="shared" si="5"/>
        <v>75</v>
      </c>
      <c r="B88" s="1">
        <f t="shared" si="6"/>
        <v>1915.7899071072968</v>
      </c>
      <c r="C88" s="1">
        <f t="shared" si="7"/>
        <v>1466.0567257140078</v>
      </c>
      <c r="D88" s="1">
        <f t="shared" si="8"/>
        <v>449.73318139328904</v>
      </c>
      <c r="E88" s="1">
        <f t="shared" si="9"/>
        <v>75631.060084564117</v>
      </c>
    </row>
    <row r="89" spans="1:5">
      <c r="A89">
        <f t="shared" si="5"/>
        <v>76</v>
      </c>
      <c r="B89" s="1">
        <f t="shared" si="6"/>
        <v>1915.7899071072968</v>
      </c>
      <c r="C89" s="1">
        <f t="shared" si="7"/>
        <v>1474.6087232806728</v>
      </c>
      <c r="D89" s="1">
        <f t="shared" si="8"/>
        <v>441.18118382662402</v>
      </c>
      <c r="E89" s="1">
        <f t="shared" si="9"/>
        <v>74156.451361283442</v>
      </c>
    </row>
    <row r="90" spans="1:5">
      <c r="A90">
        <f t="shared" si="5"/>
        <v>77</v>
      </c>
      <c r="B90" s="1">
        <f t="shared" si="6"/>
        <v>1915.7899071072968</v>
      </c>
      <c r="C90" s="1">
        <f t="shared" si="7"/>
        <v>1483.2106074998101</v>
      </c>
      <c r="D90" s="1">
        <f t="shared" si="8"/>
        <v>432.57929960748675</v>
      </c>
      <c r="E90" s="1">
        <f t="shared" si="9"/>
        <v>72673.240753783626</v>
      </c>
    </row>
    <row r="91" spans="1:5">
      <c r="A91">
        <f t="shared" si="5"/>
        <v>78</v>
      </c>
      <c r="B91" s="1">
        <f t="shared" si="6"/>
        <v>1915.7899071072968</v>
      </c>
      <c r="C91" s="1">
        <f t="shared" si="7"/>
        <v>1491.8626693768924</v>
      </c>
      <c r="D91" s="1">
        <f t="shared" si="8"/>
        <v>423.9272377304045</v>
      </c>
      <c r="E91" s="1">
        <f t="shared" si="9"/>
        <v>71181.378084406737</v>
      </c>
    </row>
    <row r="92" spans="1:5">
      <c r="A92">
        <f t="shared" si="5"/>
        <v>79</v>
      </c>
      <c r="B92" s="1">
        <f t="shared" si="6"/>
        <v>1915.7899071072968</v>
      </c>
      <c r="C92" s="1">
        <f t="shared" si="7"/>
        <v>1500.5652016149243</v>
      </c>
      <c r="D92" s="1">
        <f t="shared" si="8"/>
        <v>415.22470549237266</v>
      </c>
      <c r="E92" s="1">
        <f t="shared" si="9"/>
        <v>69680.812882791812</v>
      </c>
    </row>
    <row r="93" spans="1:5">
      <c r="A93">
        <f t="shared" si="5"/>
        <v>80</v>
      </c>
      <c r="B93" s="1">
        <f t="shared" si="6"/>
        <v>1915.7899071072968</v>
      </c>
      <c r="C93" s="1">
        <f t="shared" si="7"/>
        <v>1509.3184986243446</v>
      </c>
      <c r="D93" s="1">
        <f t="shared" si="8"/>
        <v>406.47140848295226</v>
      </c>
      <c r="E93" s="1">
        <f t="shared" si="9"/>
        <v>68171.494384167469</v>
      </c>
    </row>
    <row r="94" spans="1:5">
      <c r="A94">
        <f t="shared" si="5"/>
        <v>81</v>
      </c>
      <c r="B94" s="1">
        <f t="shared" si="6"/>
        <v>1915.7899071072968</v>
      </c>
      <c r="C94" s="1">
        <f t="shared" si="7"/>
        <v>1518.1228565329866</v>
      </c>
      <c r="D94" s="1">
        <f t="shared" si="8"/>
        <v>397.66705057431022</v>
      </c>
      <c r="E94" s="1">
        <f t="shared" si="9"/>
        <v>66653.371527634488</v>
      </c>
    </row>
    <row r="95" spans="1:5">
      <c r="A95">
        <f t="shared" si="5"/>
        <v>82</v>
      </c>
      <c r="B95" s="1">
        <f t="shared" si="6"/>
        <v>1915.7899071072968</v>
      </c>
      <c r="C95" s="1">
        <f t="shared" si="7"/>
        <v>1526.9785731960956</v>
      </c>
      <c r="D95" s="1">
        <f t="shared" si="8"/>
        <v>388.81133391120119</v>
      </c>
      <c r="E95" s="1">
        <f t="shared" si="9"/>
        <v>65126.392954438394</v>
      </c>
    </row>
    <row r="96" spans="1:5">
      <c r="A96">
        <f t="shared" si="5"/>
        <v>83</v>
      </c>
      <c r="B96" s="1">
        <f t="shared" si="6"/>
        <v>1915.7899071072968</v>
      </c>
      <c r="C96" s="1">
        <f t="shared" si="7"/>
        <v>1535.8859482064063</v>
      </c>
      <c r="D96" s="1">
        <f t="shared" si="8"/>
        <v>379.90395890089064</v>
      </c>
      <c r="E96" s="1">
        <f t="shared" si="9"/>
        <v>63590.507006231986</v>
      </c>
    </row>
    <row r="97" spans="1:5">
      <c r="A97">
        <f t="shared" si="5"/>
        <v>84</v>
      </c>
      <c r="B97" s="1">
        <f t="shared" si="6"/>
        <v>1915.7899071072968</v>
      </c>
      <c r="C97" s="1">
        <f t="shared" si="7"/>
        <v>1544.8452829042769</v>
      </c>
      <c r="D97" s="1">
        <f t="shared" si="8"/>
        <v>370.94462420301994</v>
      </c>
      <c r="E97" s="1">
        <f t="shared" si="9"/>
        <v>62045.661723327707</v>
      </c>
    </row>
    <row r="98" spans="1:5">
      <c r="A98">
        <f t="shared" si="5"/>
        <v>85</v>
      </c>
      <c r="B98" s="1">
        <f t="shared" si="6"/>
        <v>1915.7899071072968</v>
      </c>
      <c r="C98" s="1">
        <f t="shared" si="7"/>
        <v>1553.8568803878852</v>
      </c>
      <c r="D98" s="1">
        <f t="shared" si="8"/>
        <v>361.93302671941166</v>
      </c>
      <c r="E98" s="1">
        <f t="shared" si="9"/>
        <v>60491.804842939819</v>
      </c>
    </row>
    <row r="99" spans="1:5">
      <c r="A99">
        <f t="shared" si="5"/>
        <v>86</v>
      </c>
      <c r="B99" s="1">
        <f t="shared" si="6"/>
        <v>1915.7899071072968</v>
      </c>
      <c r="C99" s="1">
        <f t="shared" si="7"/>
        <v>1562.9210455234811</v>
      </c>
      <c r="D99" s="1">
        <f t="shared" si="8"/>
        <v>352.8688615838156</v>
      </c>
      <c r="E99" s="1">
        <f t="shared" si="9"/>
        <v>58928.88379741634</v>
      </c>
    </row>
    <row r="100" spans="1:5">
      <c r="A100">
        <f t="shared" si="5"/>
        <v>87</v>
      </c>
      <c r="B100" s="1">
        <f t="shared" si="6"/>
        <v>1915.7899071072968</v>
      </c>
      <c r="C100" s="1">
        <f t="shared" si="7"/>
        <v>1572.0380849557014</v>
      </c>
      <c r="D100" s="1">
        <f t="shared" si="8"/>
        <v>343.75182215159532</v>
      </c>
      <c r="E100" s="1">
        <f t="shared" si="9"/>
        <v>57356.845712460636</v>
      </c>
    </row>
    <row r="101" spans="1:5">
      <c r="A101">
        <f t="shared" si="5"/>
        <v>88</v>
      </c>
      <c r="B101" s="1">
        <f t="shared" si="6"/>
        <v>1915.7899071072968</v>
      </c>
      <c r="C101" s="1">
        <f t="shared" si="7"/>
        <v>1581.2083071179431</v>
      </c>
      <c r="D101" s="1">
        <f t="shared" si="8"/>
        <v>334.58159998935372</v>
      </c>
      <c r="E101" s="1">
        <f t="shared" si="9"/>
        <v>55775.637405342692</v>
      </c>
    </row>
    <row r="102" spans="1:5">
      <c r="A102">
        <f t="shared" si="5"/>
        <v>89</v>
      </c>
      <c r="B102" s="1">
        <f t="shared" si="6"/>
        <v>1915.7899071072968</v>
      </c>
      <c r="C102" s="1">
        <f t="shared" si="7"/>
        <v>1590.4320222427978</v>
      </c>
      <c r="D102" s="1">
        <f t="shared" si="8"/>
        <v>325.35788486449906</v>
      </c>
      <c r="E102" s="1">
        <f t="shared" si="9"/>
        <v>54185.205383099892</v>
      </c>
    </row>
    <row r="103" spans="1:5">
      <c r="A103">
        <f t="shared" si="5"/>
        <v>90</v>
      </c>
      <c r="B103" s="1">
        <f t="shared" si="6"/>
        <v>1915.7899071072968</v>
      </c>
      <c r="C103" s="1">
        <f t="shared" si="7"/>
        <v>1599.7095423725475</v>
      </c>
      <c r="D103" s="1">
        <f t="shared" si="8"/>
        <v>316.08036473474937</v>
      </c>
      <c r="E103" s="1">
        <f t="shared" si="9"/>
        <v>52585.495840727344</v>
      </c>
    </row>
    <row r="104" spans="1:5">
      <c r="A104">
        <f t="shared" si="5"/>
        <v>91</v>
      </c>
      <c r="B104" s="1">
        <f t="shared" si="6"/>
        <v>1915.7899071072968</v>
      </c>
      <c r="C104" s="1">
        <f t="shared" si="7"/>
        <v>1609.0411813697206</v>
      </c>
      <c r="D104" s="1">
        <f t="shared" si="8"/>
        <v>306.74872573757619</v>
      </c>
      <c r="E104" s="1">
        <f t="shared" si="9"/>
        <v>50976.454659357623</v>
      </c>
    </row>
    <row r="105" spans="1:5">
      <c r="A105">
        <f t="shared" si="5"/>
        <v>92</v>
      </c>
      <c r="B105" s="1">
        <f t="shared" si="6"/>
        <v>1915.7899071072968</v>
      </c>
      <c r="C105" s="1">
        <f t="shared" si="7"/>
        <v>1618.4272549277107</v>
      </c>
      <c r="D105" s="1">
        <f t="shared" si="8"/>
        <v>297.36265217958618</v>
      </c>
      <c r="E105" s="1">
        <f t="shared" si="9"/>
        <v>49358.027404429915</v>
      </c>
    </row>
    <row r="106" spans="1:5">
      <c r="A106">
        <f t="shared" si="5"/>
        <v>93</v>
      </c>
      <c r="B106" s="1">
        <f t="shared" si="6"/>
        <v>1915.7899071072968</v>
      </c>
      <c r="C106" s="1">
        <f t="shared" si="7"/>
        <v>1627.8680805814556</v>
      </c>
      <c r="D106" s="1">
        <f t="shared" si="8"/>
        <v>287.9218265258412</v>
      </c>
      <c r="E106" s="1">
        <f t="shared" si="9"/>
        <v>47730.159323848457</v>
      </c>
    </row>
    <row r="107" spans="1:5">
      <c r="A107">
        <f t="shared" si="5"/>
        <v>94</v>
      </c>
      <c r="B107" s="1">
        <f t="shared" si="6"/>
        <v>1915.7899071072968</v>
      </c>
      <c r="C107" s="1">
        <f t="shared" si="7"/>
        <v>1637.3639777181809</v>
      </c>
      <c r="D107" s="1">
        <f t="shared" si="8"/>
        <v>278.42592938911599</v>
      </c>
      <c r="E107" s="1">
        <f t="shared" si="9"/>
        <v>46092.795346130275</v>
      </c>
    </row>
    <row r="108" spans="1:5">
      <c r="A108">
        <f t="shared" si="5"/>
        <v>95</v>
      </c>
      <c r="B108" s="1">
        <f t="shared" si="6"/>
        <v>1915.7899071072968</v>
      </c>
      <c r="C108" s="1">
        <f t="shared" si="7"/>
        <v>1646.9152675882035</v>
      </c>
      <c r="D108" s="1">
        <f t="shared" si="8"/>
        <v>268.87463951909331</v>
      </c>
      <c r="E108" s="1">
        <f t="shared" si="9"/>
        <v>44445.880078542068</v>
      </c>
    </row>
    <row r="109" spans="1:5">
      <c r="A109">
        <f t="shared" si="5"/>
        <v>96</v>
      </c>
      <c r="B109" s="1">
        <f t="shared" si="6"/>
        <v>1915.7899071072968</v>
      </c>
      <c r="C109" s="1">
        <f t="shared" si="7"/>
        <v>1656.5222733158014</v>
      </c>
      <c r="D109" s="1">
        <f t="shared" si="8"/>
        <v>259.26763379149543</v>
      </c>
      <c r="E109" s="1">
        <f t="shared" si="9"/>
        <v>42789.357805226267</v>
      </c>
    </row>
    <row r="110" spans="1:5">
      <c r="A110">
        <f t="shared" si="5"/>
        <v>97</v>
      </c>
      <c r="B110" s="1">
        <f t="shared" si="6"/>
        <v>1915.7899071072968</v>
      </c>
      <c r="C110" s="1">
        <f t="shared" si="7"/>
        <v>1666.1853199101436</v>
      </c>
      <c r="D110" s="1">
        <f t="shared" si="8"/>
        <v>249.60458719715325</v>
      </c>
      <c r="E110" s="1">
        <f t="shared" si="9"/>
        <v>41123.172485316121</v>
      </c>
    </row>
    <row r="111" spans="1:5">
      <c r="A111">
        <f t="shared" si="5"/>
        <v>98</v>
      </c>
      <c r="B111" s="1">
        <f t="shared" si="6"/>
        <v>1915.7899071072968</v>
      </c>
      <c r="C111" s="1">
        <f t="shared" si="7"/>
        <v>1675.904734276286</v>
      </c>
      <c r="D111" s="1">
        <f t="shared" si="8"/>
        <v>239.88517283101072</v>
      </c>
      <c r="E111" s="1">
        <f t="shared" si="9"/>
        <v>39447.267751039835</v>
      </c>
    </row>
    <row r="112" spans="1:5">
      <c r="A112">
        <f t="shared" si="5"/>
        <v>99</v>
      </c>
      <c r="B112" s="1">
        <f t="shared" si="6"/>
        <v>1915.7899071072968</v>
      </c>
      <c r="C112" s="1">
        <f t="shared" si="7"/>
        <v>1685.6808452262312</v>
      </c>
      <c r="D112" s="1">
        <f t="shared" si="8"/>
        <v>230.10906188106571</v>
      </c>
      <c r="E112" s="1">
        <f t="shared" si="9"/>
        <v>37761.586905813601</v>
      </c>
    </row>
    <row r="113" spans="1:5">
      <c r="A113">
        <f t="shared" si="5"/>
        <v>100</v>
      </c>
      <c r="B113" s="1">
        <f t="shared" si="6"/>
        <v>1915.7899071072968</v>
      </c>
      <c r="C113" s="1">
        <f t="shared" si="7"/>
        <v>1695.5139834900508</v>
      </c>
      <c r="D113" s="1">
        <f t="shared" si="8"/>
        <v>220.27592361724601</v>
      </c>
      <c r="E113" s="1">
        <f t="shared" si="9"/>
        <v>36066.072922323554</v>
      </c>
    </row>
    <row r="114" spans="1:5">
      <c r="A114">
        <f t="shared" si="5"/>
        <v>101</v>
      </c>
      <c r="B114" s="1">
        <f t="shared" si="6"/>
        <v>1915.7899071072968</v>
      </c>
      <c r="C114" s="1">
        <f t="shared" si="7"/>
        <v>1705.404481727076</v>
      </c>
      <c r="D114" s="1">
        <f t="shared" si="8"/>
        <v>210.38542538022074</v>
      </c>
      <c r="E114" s="1">
        <f t="shared" si="9"/>
        <v>34360.668440596477</v>
      </c>
    </row>
    <row r="115" spans="1:5">
      <c r="A115">
        <f t="shared" si="5"/>
        <v>102</v>
      </c>
      <c r="B115" s="1">
        <f t="shared" si="6"/>
        <v>1915.7899071072968</v>
      </c>
      <c r="C115" s="1">
        <f t="shared" si="7"/>
        <v>1715.3526745371507</v>
      </c>
      <c r="D115" s="1">
        <f t="shared" si="8"/>
        <v>200.43723257014614</v>
      </c>
      <c r="E115" s="1">
        <f t="shared" si="9"/>
        <v>32645.315766059328</v>
      </c>
    </row>
    <row r="116" spans="1:5">
      <c r="A116">
        <f t="shared" si="5"/>
        <v>103</v>
      </c>
      <c r="B116" s="1">
        <f t="shared" si="6"/>
        <v>1915.7899071072968</v>
      </c>
      <c r="C116" s="1">
        <f t="shared" si="7"/>
        <v>1725.3588984719509</v>
      </c>
      <c r="D116" s="1">
        <f t="shared" si="8"/>
        <v>190.43100863534607</v>
      </c>
      <c r="E116" s="1">
        <f t="shared" si="9"/>
        <v>30919.956867587378</v>
      </c>
    </row>
    <row r="117" spans="1:5">
      <c r="A117">
        <f t="shared" si="5"/>
        <v>104</v>
      </c>
      <c r="B117" s="1">
        <f t="shared" si="6"/>
        <v>1915.7899071072968</v>
      </c>
      <c r="C117" s="1">
        <f t="shared" si="7"/>
        <v>1735.4234920463705</v>
      </c>
      <c r="D117" s="1">
        <f t="shared" si="8"/>
        <v>180.36641506092639</v>
      </c>
      <c r="E117" s="1">
        <f t="shared" si="9"/>
        <v>29184.533375541007</v>
      </c>
    </row>
    <row r="118" spans="1:5">
      <c r="A118">
        <f t="shared" si="5"/>
        <v>105</v>
      </c>
      <c r="B118" s="1">
        <f t="shared" si="6"/>
        <v>1915.7899071072968</v>
      </c>
      <c r="C118" s="1">
        <f t="shared" si="7"/>
        <v>1745.5467957499743</v>
      </c>
      <c r="D118" s="1">
        <f t="shared" si="8"/>
        <v>170.24311135732253</v>
      </c>
      <c r="E118" s="1">
        <f t="shared" si="9"/>
        <v>27438.986579791032</v>
      </c>
    </row>
    <row r="119" spans="1:5">
      <c r="A119">
        <f t="shared" si="5"/>
        <v>106</v>
      </c>
      <c r="B119" s="1">
        <f t="shared" si="6"/>
        <v>1915.7899071072968</v>
      </c>
      <c r="C119" s="1">
        <f t="shared" si="7"/>
        <v>1755.7291520585159</v>
      </c>
      <c r="D119" s="1">
        <f t="shared" si="8"/>
        <v>160.06075504878103</v>
      </c>
      <c r="E119" s="1">
        <f t="shared" si="9"/>
        <v>25683.257427732515</v>
      </c>
    </row>
    <row r="120" spans="1:5">
      <c r="A120">
        <f t="shared" si="5"/>
        <v>107</v>
      </c>
      <c r="B120" s="1">
        <f t="shared" si="6"/>
        <v>1915.7899071072968</v>
      </c>
      <c r="C120" s="1">
        <f t="shared" si="7"/>
        <v>1765.9709054455238</v>
      </c>
      <c r="D120" s="1">
        <f t="shared" si="8"/>
        <v>149.819001661773</v>
      </c>
      <c r="E120" s="1">
        <f t="shared" si="9"/>
        <v>23917.286522286991</v>
      </c>
    </row>
    <row r="121" spans="1:5">
      <c r="A121">
        <f t="shared" si="5"/>
        <v>108</v>
      </c>
      <c r="B121" s="1">
        <f t="shared" si="6"/>
        <v>1915.7899071072968</v>
      </c>
      <c r="C121" s="1">
        <f t="shared" si="7"/>
        <v>1776.2724023939561</v>
      </c>
      <c r="D121" s="1">
        <f t="shared" si="8"/>
        <v>139.5175047133408</v>
      </c>
      <c r="E121" s="1">
        <f t="shared" si="9"/>
        <v>22141.014119893036</v>
      </c>
    </row>
    <row r="122" spans="1:5">
      <c r="A122">
        <f t="shared" si="5"/>
        <v>109</v>
      </c>
      <c r="B122" s="1">
        <f t="shared" si="6"/>
        <v>1915.7899071072968</v>
      </c>
      <c r="C122" s="1">
        <f t="shared" si="7"/>
        <v>1786.6339914079208</v>
      </c>
      <c r="D122" s="1">
        <f t="shared" si="8"/>
        <v>129.15591569937604</v>
      </c>
      <c r="E122" s="1">
        <f t="shared" si="9"/>
        <v>20354.380128485114</v>
      </c>
    </row>
    <row r="123" spans="1:5">
      <c r="A123">
        <f t="shared" si="5"/>
        <v>110</v>
      </c>
      <c r="B123" s="1">
        <f t="shared" si="6"/>
        <v>1915.7899071072968</v>
      </c>
      <c r="C123" s="1">
        <f t="shared" si="7"/>
        <v>1797.0560230244669</v>
      </c>
      <c r="D123" s="1">
        <f t="shared" si="8"/>
        <v>118.73388408282983</v>
      </c>
      <c r="E123" s="1">
        <f t="shared" si="9"/>
        <v>18557.324105460648</v>
      </c>
    </row>
    <row r="124" spans="1:5">
      <c r="A124">
        <f t="shared" si="5"/>
        <v>111</v>
      </c>
      <c r="B124" s="1">
        <f t="shared" si="6"/>
        <v>1915.7899071072968</v>
      </c>
      <c r="C124" s="1">
        <f t="shared" si="7"/>
        <v>1807.5388498254431</v>
      </c>
      <c r="D124" s="1">
        <f t="shared" si="8"/>
        <v>108.25105728185379</v>
      </c>
      <c r="E124" s="1">
        <f t="shared" si="9"/>
        <v>16749.785255635205</v>
      </c>
    </row>
    <row r="125" spans="1:5">
      <c r="A125">
        <f t="shared" si="5"/>
        <v>112</v>
      </c>
      <c r="B125" s="1">
        <f t="shared" si="6"/>
        <v>1915.7899071072968</v>
      </c>
      <c r="C125" s="1">
        <f t="shared" si="7"/>
        <v>1818.0828264494248</v>
      </c>
      <c r="D125" s="1">
        <f t="shared" si="8"/>
        <v>97.707080657872027</v>
      </c>
      <c r="E125" s="1">
        <f t="shared" si="9"/>
        <v>14931.70242918578</v>
      </c>
    </row>
    <row r="126" spans="1:5">
      <c r="A126">
        <f t="shared" si="5"/>
        <v>113</v>
      </c>
      <c r="B126" s="1">
        <f t="shared" si="6"/>
        <v>1915.7899071072968</v>
      </c>
      <c r="C126" s="1">
        <f t="shared" si="7"/>
        <v>1828.6883096037132</v>
      </c>
      <c r="D126" s="1">
        <f t="shared" si="8"/>
        <v>87.101597503583719</v>
      </c>
      <c r="E126" s="1">
        <f t="shared" si="9"/>
        <v>13103.014119582067</v>
      </c>
    </row>
    <row r="127" spans="1:5">
      <c r="A127">
        <f t="shared" si="5"/>
        <v>114</v>
      </c>
      <c r="B127" s="1">
        <f t="shared" si="6"/>
        <v>1915.7899071072968</v>
      </c>
      <c r="C127" s="1">
        <f t="shared" si="7"/>
        <v>1839.3556580764014</v>
      </c>
      <c r="D127" s="1">
        <f t="shared" si="8"/>
        <v>76.434249030895401</v>
      </c>
      <c r="E127" s="1">
        <f t="shared" si="9"/>
        <v>11263.658461505665</v>
      </c>
    </row>
    <row r="128" spans="1:5">
      <c r="A128">
        <f t="shared" si="5"/>
        <v>115</v>
      </c>
      <c r="B128" s="1">
        <f t="shared" si="6"/>
        <v>1915.7899071072968</v>
      </c>
      <c r="C128" s="1">
        <f t="shared" si="7"/>
        <v>1850.0852327485138</v>
      </c>
      <c r="D128" s="1">
        <f t="shared" si="8"/>
        <v>65.704674358783052</v>
      </c>
      <c r="E128" s="1">
        <f t="shared" si="9"/>
        <v>9413.5732287571518</v>
      </c>
    </row>
    <row r="129" spans="1:5">
      <c r="A129">
        <f t="shared" si="5"/>
        <v>116</v>
      </c>
      <c r="B129" s="1">
        <f t="shared" si="6"/>
        <v>1915.7899071072968</v>
      </c>
      <c r="C129" s="1">
        <f t="shared" si="7"/>
        <v>1860.8773966062133</v>
      </c>
      <c r="D129" s="1">
        <f t="shared" si="8"/>
        <v>54.912510501083389</v>
      </c>
      <c r="E129" s="1">
        <f t="shared" si="9"/>
        <v>7552.6958321509383</v>
      </c>
    </row>
    <row r="130" spans="1:5">
      <c r="A130">
        <f t="shared" si="5"/>
        <v>117</v>
      </c>
      <c r="B130" s="1">
        <f t="shared" si="6"/>
        <v>1915.7899071072968</v>
      </c>
      <c r="C130" s="1">
        <f t="shared" si="7"/>
        <v>1871.732514753083</v>
      </c>
      <c r="D130" s="1">
        <f t="shared" si="8"/>
        <v>44.05739235421381</v>
      </c>
      <c r="E130" s="1">
        <f t="shared" si="9"/>
        <v>5680.9633173978555</v>
      </c>
    </row>
    <row r="131" spans="1:5">
      <c r="A131">
        <f t="shared" si="5"/>
        <v>118</v>
      </c>
      <c r="B131" s="1">
        <f t="shared" si="6"/>
        <v>1915.7899071072968</v>
      </c>
      <c r="C131" s="1">
        <f t="shared" si="7"/>
        <v>1882.6509544224759</v>
      </c>
      <c r="D131" s="1">
        <f t="shared" si="8"/>
        <v>33.138952684820822</v>
      </c>
      <c r="E131" s="1">
        <f t="shared" si="9"/>
        <v>3798.3123629753795</v>
      </c>
    </row>
    <row r="132" spans="1:5">
      <c r="A132">
        <f t="shared" si="5"/>
        <v>119</v>
      </c>
      <c r="B132" s="1">
        <f t="shared" si="6"/>
        <v>1915.7899071072968</v>
      </c>
      <c r="C132" s="1">
        <f t="shared" si="7"/>
        <v>1893.6330849899405</v>
      </c>
      <c r="D132" s="1">
        <f t="shared" si="8"/>
        <v>22.156822117356381</v>
      </c>
      <c r="E132" s="1">
        <f t="shared" si="9"/>
        <v>1904.6792779854391</v>
      </c>
    </row>
    <row r="133" spans="1:5">
      <c r="A133">
        <f t="shared" si="5"/>
        <v>120</v>
      </c>
      <c r="B133" s="1">
        <f t="shared" si="6"/>
        <v>1915.7899071072968</v>
      </c>
      <c r="C133" s="1">
        <f t="shared" si="7"/>
        <v>1904.6792779857151</v>
      </c>
      <c r="D133" s="1">
        <f t="shared" si="8"/>
        <v>11.110629121581729</v>
      </c>
      <c r="E133" s="1">
        <f t="shared" si="9"/>
        <v>-2.7603164198808372E-10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V12" sqref="V12"/>
    </sheetView>
  </sheetViews>
  <sheetFormatPr defaultRowHeight="15"/>
  <cols>
    <col min="5" max="5" width="22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33"/>
      <c r="J6" s="133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35"/>
      <c r="J7" s="135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35"/>
      <c r="J8" s="135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35"/>
      <c r="J9" s="135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R13" sqref="R13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33"/>
      <c r="K6" s="133"/>
    </row>
    <row r="7" spans="6:11">
      <c r="F7" s="66" t="s">
        <v>85</v>
      </c>
      <c r="G7" s="94">
        <f>'Profit and Loss Statement'!E21/'Profit and Loss Statement'!E8</f>
        <v>430025.37070509983</v>
      </c>
      <c r="H7" s="94">
        <f>'Profit and Loss Statement'!F21/'Profit and Loss Statement'!F8</f>
        <v>450255.66934722825</v>
      </c>
      <c r="I7" s="94">
        <f>'Profit and Loss Statement'!G21/'Profit and Loss Statement'!G8</f>
        <v>470673.0428313525</v>
      </c>
      <c r="J7" s="134"/>
      <c r="K7" s="134"/>
    </row>
    <row r="8" spans="6:11">
      <c r="F8" s="121"/>
      <c r="G8" s="121"/>
      <c r="H8" s="121"/>
      <c r="I8" s="121"/>
    </row>
    <row r="9" spans="6:11">
      <c r="F9" s="121"/>
      <c r="G9" s="121"/>
      <c r="H9" s="121"/>
      <c r="I9" s="121"/>
    </row>
    <row r="10" spans="6:11">
      <c r="F10" s="121"/>
      <c r="G10" s="121"/>
      <c r="H10" s="121"/>
      <c r="I10" s="121"/>
    </row>
    <row r="11" spans="6:11">
      <c r="F11" s="118" t="s">
        <v>86</v>
      </c>
      <c r="G11" s="120">
        <f>G7</f>
        <v>430025.37070509983</v>
      </c>
      <c r="H11" s="120">
        <f t="shared" ref="H11:K11" si="0">H7</f>
        <v>450255.66934722825</v>
      </c>
      <c r="I11" s="120">
        <f t="shared" si="0"/>
        <v>470673.0428313525</v>
      </c>
      <c r="J11" s="120">
        <f t="shared" si="0"/>
        <v>0</v>
      </c>
      <c r="K11" s="120">
        <f t="shared" si="0"/>
        <v>0</v>
      </c>
    </row>
    <row r="12" spans="6:11">
      <c r="F12" s="118"/>
      <c r="G12" s="118"/>
      <c r="H12" s="118"/>
      <c r="I12" s="118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V14" sqref="V14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33"/>
      <c r="J6" s="133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35"/>
      <c r="J8" s="135"/>
    </row>
    <row r="9" spans="5:10">
      <c r="E9" s="103" t="s">
        <v>12</v>
      </c>
      <c r="F9" s="104">
        <f>'Profit and Loss Statement'!E8</f>
        <v>0.57820512820512815</v>
      </c>
      <c r="G9" s="104">
        <f>'Profit and Loss Statement'!F8</f>
        <v>0.57820512820512837</v>
      </c>
      <c r="H9" s="101">
        <f>'Profit and Loss Statement'!G8</f>
        <v>0.57820512820512815</v>
      </c>
      <c r="I9" s="135"/>
      <c r="J9" s="135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3.9712587095867575E-3</v>
      </c>
      <c r="G12" s="101">
        <f>'Profit and Loss Statement'!F28/'Profit and Loss Statement'!F6</f>
        <v>5.7325132128883703E-2</v>
      </c>
      <c r="H12" s="101">
        <f>'Profit and Loss Statement'!G28/'Profit and Loss Statement'!G6</f>
        <v>9.0902259925706219E-2</v>
      </c>
      <c r="I12" s="135"/>
      <c r="J12" s="135"/>
    </row>
    <row r="13" spans="5:10">
      <c r="E13" s="66" t="s">
        <v>92</v>
      </c>
      <c r="F13" s="105">
        <f>'Balance Sheet'!E10/'Balance Sheet'!E15</f>
        <v>1.1863050481616422</v>
      </c>
      <c r="G13" s="105">
        <f>'Balance Sheet'!F10/'Balance Sheet'!F15</f>
        <v>1.221385525140221</v>
      </c>
      <c r="H13" s="105">
        <f>'Balance Sheet'!G10/'Balance Sheet'!G15</f>
        <v>1.3246894891225456</v>
      </c>
      <c r="I13" s="136"/>
      <c r="J13" s="136"/>
    </row>
    <row r="14" spans="5:10">
      <c r="E14" s="66" t="s">
        <v>93</v>
      </c>
      <c r="F14" s="105">
        <f>'Balance Sheet'!E17/'Balance Sheet'!E15</f>
        <v>0.18630504816164214</v>
      </c>
      <c r="G14" s="105">
        <f>'Balance Sheet'!F17/'Balance Sheet'!F15</f>
        <v>0.22138552514022106</v>
      </c>
      <c r="H14" s="105">
        <f>'Balance Sheet'!G17/'Balance Sheet'!G15</f>
        <v>0.32468948912254553</v>
      </c>
      <c r="I14" s="136"/>
      <c r="J14" s="136"/>
    </row>
    <row r="15" spans="5:10">
      <c r="E15" s="66" t="s">
        <v>94</v>
      </c>
      <c r="F15" s="105">
        <f>'Balance Sheet'!E10/'Balance Sheet'!E17</f>
        <v>6.3675410831185806</v>
      </c>
      <c r="G15" s="105">
        <f>'Balance Sheet'!F10/'Balance Sheet'!F17</f>
        <v>5.517007150158622</v>
      </c>
      <c r="H15" s="105">
        <f>'Balance Sheet'!G10/'Balance Sheet'!G17</f>
        <v>4.0798656362497034</v>
      </c>
      <c r="I15" s="136"/>
      <c r="J15" s="136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0.52952427105632571</v>
      </c>
      <c r="G18" s="105">
        <f>'Balance Sheet'!F7/'Balance Sheet'!F10</f>
        <v>0.5626841111426788</v>
      </c>
      <c r="H18" s="105">
        <f>'Balance Sheet'!G7/'Balance Sheet'!G10</f>
        <v>0.61535149919865706</v>
      </c>
      <c r="I18" s="136"/>
      <c r="J18" s="136"/>
    </row>
    <row r="19" spans="5:10">
      <c r="E19" s="66" t="s">
        <v>96</v>
      </c>
      <c r="F19" s="105">
        <f>'Balance Sheet'!E7/'Balance Sheet'!E15</f>
        <v>0.62817731587823289</v>
      </c>
      <c r="G19" s="105">
        <f>'Balance Sheet'!F7/'Balance Sheet'!F15</f>
        <v>0.68725422857605933</v>
      </c>
      <c r="H19" s="105">
        <f>'Balance Sheet'!G7/'Balance Sheet'!G15</f>
        <v>0.8151496631042614</v>
      </c>
      <c r="I19" s="136"/>
      <c r="J19" s="136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topLeftCell="A7" workbookViewId="0">
      <selection activeCell="K35" sqref="K35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114</v>
      </c>
      <c r="C5" s="14">
        <v>50000</v>
      </c>
      <c r="G5" s="11" t="s">
        <v>9</v>
      </c>
      <c r="H5" s="16">
        <v>1</v>
      </c>
      <c r="I5" s="16">
        <v>2</v>
      </c>
      <c r="J5" s="123">
        <v>3</v>
      </c>
      <c r="M5" s="43"/>
      <c r="N5" s="43"/>
    </row>
    <row r="6" spans="2:14">
      <c r="B6" s="4" t="s">
        <v>132</v>
      </c>
      <c r="C6" s="14">
        <v>45000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24"/>
      <c r="N6" s="124"/>
    </row>
    <row r="7" spans="2:14">
      <c r="B7" s="4" t="s">
        <v>131</v>
      </c>
      <c r="C7" s="14">
        <v>25000</v>
      </c>
      <c r="G7" s="4" t="str">
        <f>B6</f>
        <v>Store Manager</v>
      </c>
      <c r="H7" s="14">
        <f t="shared" si="0"/>
        <v>45000</v>
      </c>
      <c r="I7" s="14">
        <f t="shared" si="1"/>
        <v>46350</v>
      </c>
      <c r="J7" s="14">
        <f t="shared" si="2"/>
        <v>47740.5</v>
      </c>
      <c r="M7" s="124"/>
      <c r="N7" s="124"/>
    </row>
    <row r="8" spans="2:14">
      <c r="B8" s="4" t="s">
        <v>125</v>
      </c>
      <c r="C8" s="14">
        <v>37500</v>
      </c>
      <c r="G8" s="4" t="str">
        <f>B7</f>
        <v>Store Staff</v>
      </c>
      <c r="H8" s="14">
        <f t="shared" si="0"/>
        <v>50000</v>
      </c>
      <c r="I8" s="14">
        <f t="shared" si="1"/>
        <v>51500</v>
      </c>
      <c r="J8" s="14">
        <f t="shared" si="2"/>
        <v>53045</v>
      </c>
      <c r="M8" s="124"/>
      <c r="N8" s="124"/>
    </row>
    <row r="9" spans="2:14">
      <c r="B9" s="4" t="s">
        <v>127</v>
      </c>
      <c r="C9" s="14">
        <v>0</v>
      </c>
      <c r="G9" s="4" t="str">
        <f>B8</f>
        <v>Administrative Staff</v>
      </c>
      <c r="H9" s="14">
        <f t="shared" si="0"/>
        <v>37500</v>
      </c>
      <c r="I9" s="14">
        <f t="shared" si="1"/>
        <v>38625</v>
      </c>
      <c r="J9" s="14">
        <f t="shared" si="2"/>
        <v>39783.75</v>
      </c>
      <c r="M9" s="124"/>
      <c r="N9" s="124"/>
    </row>
    <row r="10" spans="2:14">
      <c r="B10" s="4" t="s">
        <v>118</v>
      </c>
      <c r="C10" s="14">
        <v>0</v>
      </c>
      <c r="G10" s="4" t="str">
        <f>B9</f>
        <v>Position 5</v>
      </c>
      <c r="H10" s="14">
        <f t="shared" si="0"/>
        <v>0</v>
      </c>
      <c r="I10" s="14">
        <f t="shared" si="1"/>
        <v>0</v>
      </c>
      <c r="J10" s="14">
        <f t="shared" si="2"/>
        <v>0</v>
      </c>
      <c r="M10" s="124"/>
      <c r="N10" s="124"/>
    </row>
    <row r="11" spans="2:14">
      <c r="B11" s="4" t="s">
        <v>138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24"/>
      <c r="N11" s="124"/>
    </row>
    <row r="12" spans="2:14">
      <c r="B12" s="4" t="s">
        <v>139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24"/>
      <c r="N12" s="124"/>
    </row>
    <row r="13" spans="2:14">
      <c r="B13" s="4" t="s">
        <v>140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24"/>
      <c r="N13" s="124"/>
    </row>
    <row r="14" spans="2:14">
      <c r="B14" s="4" t="s">
        <v>122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24"/>
      <c r="N14" s="124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24"/>
      <c r="N15" s="124"/>
    </row>
    <row r="16" spans="2:14">
      <c r="G16" s="10" t="s">
        <v>8</v>
      </c>
      <c r="H16" s="9">
        <f>SUM(H6:H15)</f>
        <v>182500</v>
      </c>
      <c r="I16" s="9">
        <f t="shared" ref="I16:J16" si="3">SUM(I6:I15)</f>
        <v>187975</v>
      </c>
      <c r="J16" s="9">
        <f t="shared" si="3"/>
        <v>193614.25</v>
      </c>
      <c r="M16" s="125"/>
      <c r="N16" s="125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Store Manager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Store Staff</v>
      </c>
      <c r="H20" s="4">
        <f t="shared" si="4"/>
        <v>2</v>
      </c>
      <c r="I20" s="4">
        <f t="shared" si="5"/>
        <v>2</v>
      </c>
      <c r="J20" s="4">
        <f t="shared" si="6"/>
        <v>2</v>
      </c>
      <c r="M20" s="30"/>
      <c r="N20" s="30"/>
    </row>
    <row r="21" spans="2:20">
      <c r="G21" s="4" t="str">
        <f>G9</f>
        <v>Administrative Staff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21"/>
      <c r="P21" s="121"/>
      <c r="Q21" s="121"/>
      <c r="R21" s="121"/>
      <c r="S21" s="121"/>
      <c r="T21" s="121"/>
    </row>
    <row r="22" spans="2:20">
      <c r="B22" s="7" t="s">
        <v>61</v>
      </c>
      <c r="C22" s="3"/>
      <c r="D22" s="3"/>
      <c r="E22" s="3"/>
      <c r="G22" s="4" t="str">
        <f t="shared" ref="G22:G27" si="7">G10</f>
        <v>Position 5</v>
      </c>
      <c r="H22" s="4">
        <f t="shared" si="4"/>
        <v>0</v>
      </c>
      <c r="I22" s="4">
        <f t="shared" si="5"/>
        <v>0</v>
      </c>
      <c r="J22" s="4">
        <f t="shared" si="6"/>
        <v>0</v>
      </c>
      <c r="M22" s="30"/>
      <c r="N22" s="30"/>
      <c r="O22" s="121"/>
      <c r="P22" s="121"/>
      <c r="Q22" s="121"/>
      <c r="R22" s="121"/>
      <c r="S22" s="121"/>
      <c r="T22" s="121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21"/>
      <c r="P23" s="121"/>
      <c r="Q23" s="121"/>
      <c r="R23" s="121"/>
      <c r="S23" s="121"/>
      <c r="T23" s="121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7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21"/>
      <c r="P24" s="121"/>
      <c r="Q24" s="121"/>
      <c r="R24" s="121"/>
      <c r="S24" s="121"/>
      <c r="T24" s="121"/>
    </row>
    <row r="25" spans="2:20">
      <c r="B25" s="15" t="str">
        <f>B6</f>
        <v>Store Manager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21"/>
      <c r="P25" s="121"/>
      <c r="Q25" s="121"/>
      <c r="R25" s="121"/>
      <c r="S25" s="121"/>
      <c r="T25" s="121"/>
    </row>
    <row r="26" spans="2:20">
      <c r="B26" s="15" t="str">
        <f>B7</f>
        <v>Store Staff</v>
      </c>
      <c r="C26" s="5">
        <v>2</v>
      </c>
      <c r="D26" s="5">
        <v>2</v>
      </c>
      <c r="E26" s="5">
        <v>2</v>
      </c>
      <c r="F26" s="147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21"/>
      <c r="P26" s="121"/>
      <c r="Q26" s="121"/>
      <c r="R26" s="121"/>
      <c r="S26" s="121"/>
      <c r="T26" s="121"/>
    </row>
    <row r="27" spans="2:20">
      <c r="B27" s="15" t="str">
        <f>B8</f>
        <v>Administrative Staff</v>
      </c>
      <c r="C27" s="5">
        <v>1</v>
      </c>
      <c r="D27" s="5">
        <v>1</v>
      </c>
      <c r="E27" s="5">
        <v>1</v>
      </c>
      <c r="F27" s="147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21"/>
      <c r="P27" s="121"/>
      <c r="Q27" s="121"/>
      <c r="R27" s="121"/>
      <c r="S27" s="121"/>
      <c r="T27" s="121"/>
    </row>
    <row r="28" spans="2:20">
      <c r="B28" s="15" t="str">
        <f>B9</f>
        <v>Position 5</v>
      </c>
      <c r="C28" s="5"/>
      <c r="D28" s="5"/>
      <c r="E28" s="5"/>
      <c r="F28" s="147"/>
      <c r="G28" s="10" t="s">
        <v>8</v>
      </c>
      <c r="H28" s="10">
        <f>SUM(H18:H27)</f>
        <v>5</v>
      </c>
      <c r="I28" s="10">
        <f t="shared" ref="I28:J28" si="8">SUM(I18:I27)</f>
        <v>5</v>
      </c>
      <c r="J28" s="10">
        <f t="shared" si="8"/>
        <v>5</v>
      </c>
      <c r="M28" s="30"/>
      <c r="N28" s="30"/>
      <c r="O28" s="121"/>
      <c r="P28" s="121"/>
      <c r="Q28" s="121"/>
      <c r="R28" s="121"/>
      <c r="S28" s="121"/>
      <c r="T28" s="121"/>
    </row>
    <row r="29" spans="2:20">
      <c r="B29" s="15" t="s">
        <v>118</v>
      </c>
      <c r="C29" s="5"/>
      <c r="D29" s="5"/>
      <c r="E29" s="5"/>
      <c r="O29" s="121"/>
      <c r="P29" s="121"/>
      <c r="Q29" s="121"/>
      <c r="R29" s="121"/>
      <c r="S29" s="121"/>
      <c r="T29" s="121"/>
    </row>
    <row r="30" spans="2:20">
      <c r="B30" s="15" t="s">
        <v>119</v>
      </c>
      <c r="C30" s="5"/>
      <c r="D30" s="5"/>
      <c r="E30" s="5"/>
      <c r="L30" s="118"/>
      <c r="M30" s="118"/>
      <c r="O30" s="121"/>
      <c r="P30" s="121"/>
      <c r="Q30" s="121"/>
      <c r="R30" s="121"/>
      <c r="S30" s="121"/>
      <c r="T30" s="121"/>
    </row>
    <row r="31" spans="2:20">
      <c r="B31" s="15" t="s">
        <v>120</v>
      </c>
      <c r="C31" s="5"/>
      <c r="D31" s="5"/>
      <c r="E31" s="5"/>
      <c r="L31" s="118" t="str">
        <f>G6</f>
        <v>Senior Management</v>
      </c>
      <c r="M31" s="119">
        <f>J6/$J$16</f>
        <v>0.27397260273972601</v>
      </c>
      <c r="O31" s="121"/>
      <c r="P31" s="121"/>
      <c r="Q31" s="121"/>
      <c r="R31" s="121"/>
      <c r="S31" s="121"/>
      <c r="T31" s="121"/>
    </row>
    <row r="32" spans="2:20">
      <c r="B32" s="15" t="s">
        <v>121</v>
      </c>
      <c r="C32" s="5"/>
      <c r="D32" s="5"/>
      <c r="E32" s="5"/>
      <c r="F32" s="30"/>
      <c r="G32" s="30"/>
      <c r="L32" s="118" t="str">
        <f>G7</f>
        <v>Store Manager</v>
      </c>
      <c r="M32" s="119">
        <f>J7/$J$16</f>
        <v>0.24657534246575341</v>
      </c>
      <c r="O32" s="121"/>
      <c r="P32" s="121"/>
      <c r="Q32" s="121"/>
      <c r="T32" s="121"/>
    </row>
    <row r="33" spans="2:20">
      <c r="B33" s="15" t="s">
        <v>122</v>
      </c>
      <c r="C33" s="5"/>
      <c r="D33" s="5"/>
      <c r="E33" s="5"/>
      <c r="F33" s="30"/>
      <c r="G33" s="30"/>
      <c r="L33" s="118" t="str">
        <f>G8</f>
        <v>Store Staff</v>
      </c>
      <c r="M33" s="119">
        <f>J8/$J$16</f>
        <v>0.27397260273972601</v>
      </c>
      <c r="O33" s="121"/>
      <c r="P33" s="121"/>
      <c r="Q33" s="121"/>
      <c r="T33" s="121"/>
    </row>
    <row r="34" spans="2:20">
      <c r="F34" s="43"/>
      <c r="G34" s="43"/>
      <c r="L34" s="118" t="str">
        <f>G9</f>
        <v>Administrative Staff</v>
      </c>
      <c r="M34" s="119">
        <f>J9/$J$16</f>
        <v>0.20547945205479451</v>
      </c>
      <c r="O34" s="121"/>
      <c r="P34" s="121"/>
      <c r="Q34" s="121"/>
      <c r="T34" s="121"/>
    </row>
    <row r="35" spans="2:20">
      <c r="F35" s="43"/>
      <c r="G35" s="43"/>
      <c r="L35" s="118" t="str">
        <f>G10</f>
        <v>Position 5</v>
      </c>
      <c r="M35" s="119">
        <f>J10/$J$16</f>
        <v>0</v>
      </c>
      <c r="O35" s="121"/>
      <c r="P35" s="121"/>
      <c r="Q35" s="121"/>
      <c r="T35" s="121"/>
    </row>
    <row r="36" spans="2:20">
      <c r="F36" s="43"/>
      <c r="G36" s="43"/>
      <c r="L36" s="118"/>
      <c r="M36" s="118"/>
      <c r="O36" s="121"/>
      <c r="P36" s="121"/>
      <c r="Q36" s="121"/>
      <c r="T36" s="121"/>
    </row>
    <row r="37" spans="2:20">
      <c r="F37" s="43"/>
      <c r="G37" s="43"/>
      <c r="L37" s="118"/>
      <c r="M37" s="118"/>
      <c r="O37" s="121"/>
      <c r="P37" s="121"/>
      <c r="Q37" s="121"/>
      <c r="R37" s="121"/>
      <c r="S37" s="122"/>
      <c r="T37" s="121"/>
    </row>
    <row r="38" spans="2:20">
      <c r="F38" s="43"/>
      <c r="G38" s="43"/>
      <c r="Q38" s="118"/>
      <c r="R38" s="118"/>
      <c r="S38" s="119"/>
    </row>
    <row r="39" spans="2:20">
      <c r="F39" s="43"/>
      <c r="G39" s="43"/>
      <c r="S39" s="117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9">B6</f>
        <v>Store Manager</v>
      </c>
      <c r="C59" s="14">
        <f t="shared" si="9"/>
        <v>45000</v>
      </c>
      <c r="D59" s="14">
        <f t="shared" ref="D59:G59" si="10">C59*(1+$C$53)</f>
        <v>46350</v>
      </c>
      <c r="E59" s="14">
        <f t="shared" si="10"/>
        <v>47740.5</v>
      </c>
      <c r="F59" s="14">
        <f t="shared" si="10"/>
        <v>49172.715000000004</v>
      </c>
      <c r="G59" s="14">
        <f t="shared" si="10"/>
        <v>50647.896450000007</v>
      </c>
    </row>
    <row r="60" spans="2:7">
      <c r="B60" s="4" t="str">
        <f t="shared" si="9"/>
        <v>Store Staff</v>
      </c>
      <c r="C60" s="14">
        <f t="shared" si="9"/>
        <v>25000</v>
      </c>
      <c r="D60" s="14">
        <f t="shared" ref="D60:G60" si="11">C60*(1+$C$53)</f>
        <v>25750</v>
      </c>
      <c r="E60" s="14">
        <f t="shared" si="11"/>
        <v>26522.5</v>
      </c>
      <c r="F60" s="14">
        <f t="shared" si="11"/>
        <v>27318.174999999999</v>
      </c>
      <c r="G60" s="14">
        <f t="shared" si="11"/>
        <v>28137.720249999998</v>
      </c>
    </row>
    <row r="61" spans="2:7">
      <c r="B61" s="4" t="str">
        <f t="shared" si="9"/>
        <v>Administrative Staff</v>
      </c>
      <c r="C61" s="14">
        <f t="shared" si="9"/>
        <v>37500</v>
      </c>
      <c r="D61" s="14">
        <f t="shared" ref="D61:G61" si="12">C61*(1+$C$53)</f>
        <v>38625</v>
      </c>
      <c r="E61" s="14">
        <f t="shared" si="12"/>
        <v>39783.75</v>
      </c>
      <c r="F61" s="14">
        <f t="shared" si="12"/>
        <v>40977.262500000004</v>
      </c>
      <c r="G61" s="14">
        <f t="shared" si="12"/>
        <v>42206.580375000005</v>
      </c>
    </row>
    <row r="62" spans="2:7">
      <c r="B62" s="4" t="str">
        <f t="shared" si="9"/>
        <v>Position 5</v>
      </c>
      <c r="C62" s="14">
        <f t="shared" si="9"/>
        <v>0</v>
      </c>
      <c r="D62" s="14">
        <f t="shared" ref="D62:G62" si="13">C62*(1+$C$53)</f>
        <v>0</v>
      </c>
      <c r="E62" s="14">
        <f t="shared" si="13"/>
        <v>0</v>
      </c>
      <c r="F62" s="14">
        <f t="shared" si="13"/>
        <v>0</v>
      </c>
      <c r="G62" s="14">
        <f t="shared" si="13"/>
        <v>0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M24" sqref="M24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33"/>
      <c r="J4" s="97" t="s">
        <v>9</v>
      </c>
      <c r="K4" s="98">
        <v>1</v>
      </c>
      <c r="L4" s="98">
        <v>2</v>
      </c>
      <c r="M4" s="102">
        <v>3</v>
      </c>
    </row>
    <row r="5" spans="5:13">
      <c r="E5" s="114" t="s">
        <v>55</v>
      </c>
      <c r="F5" s="115">
        <v>0</v>
      </c>
      <c r="G5" s="115">
        <f>Inputs!C46</f>
        <v>0.2</v>
      </c>
      <c r="H5" s="115">
        <f>Inputs!C47</f>
        <v>0.15</v>
      </c>
      <c r="I5" s="132"/>
      <c r="J5" s="114"/>
      <c r="K5" s="115"/>
      <c r="L5" s="115"/>
      <c r="M5" s="115"/>
    </row>
    <row r="6" spans="5:13">
      <c r="E6" s="94" t="str">
        <f>Inputs!B5</f>
        <v>Shipping Services</v>
      </c>
      <c r="F6" s="94">
        <f>SUM(Inputs!C32:N32)</f>
        <v>241320</v>
      </c>
      <c r="G6" s="94">
        <f t="shared" ref="G6:H15" si="0">F6*(1+G$5)</f>
        <v>289584</v>
      </c>
      <c r="H6" s="94">
        <f t="shared" si="0"/>
        <v>333021.59999999998</v>
      </c>
      <c r="I6" s="134"/>
      <c r="J6" s="94" t="str">
        <f>E6</f>
        <v>Shipping Services</v>
      </c>
      <c r="K6" s="153">
        <f>F6/$F$16</f>
        <v>0.51282051282051277</v>
      </c>
      <c r="L6" s="153">
        <f>G6/$G$16</f>
        <v>0.51282051282051277</v>
      </c>
      <c r="M6" s="153">
        <f>H6/$H$16</f>
        <v>0.51282051282051277</v>
      </c>
    </row>
    <row r="7" spans="5:13">
      <c r="E7" s="94" t="str">
        <f>Inputs!B6</f>
        <v>Packing Services</v>
      </c>
      <c r="F7" s="94">
        <f>SUM(Inputs!C33:N33)</f>
        <v>168924</v>
      </c>
      <c r="G7" s="94">
        <f t="shared" si="0"/>
        <v>202708.8</v>
      </c>
      <c r="H7" s="94">
        <f t="shared" si="0"/>
        <v>233115.11999999997</v>
      </c>
      <c r="I7" s="134"/>
      <c r="J7" s="94" t="str">
        <f t="shared" ref="J7:J15" si="1">E7</f>
        <v>Packing Services</v>
      </c>
      <c r="K7" s="153">
        <f t="shared" ref="K7:K15" si="2">F7/$F$16</f>
        <v>0.35897435897435898</v>
      </c>
      <c r="L7" s="153">
        <f t="shared" ref="L7:L15" si="3">G7/$G$16</f>
        <v>0.35897435897435892</v>
      </c>
      <c r="M7" s="153">
        <f t="shared" ref="M7:M15" si="4">H7/$H$16</f>
        <v>0.35897435897435892</v>
      </c>
    </row>
    <row r="8" spans="5:13">
      <c r="E8" s="94" t="str">
        <f>Inputs!B7</f>
        <v>Business Services</v>
      </c>
      <c r="F8" s="94">
        <f>SUM(Inputs!C34:N34)</f>
        <v>60330</v>
      </c>
      <c r="G8" s="94">
        <f t="shared" si="0"/>
        <v>72396</v>
      </c>
      <c r="H8" s="94">
        <f t="shared" si="0"/>
        <v>83255.399999999994</v>
      </c>
      <c r="I8" s="134"/>
      <c r="J8" s="94" t="str">
        <f t="shared" si="1"/>
        <v>Business Services</v>
      </c>
      <c r="K8" s="153">
        <f t="shared" si="2"/>
        <v>0.12820512820512819</v>
      </c>
      <c r="L8" s="153">
        <f t="shared" si="3"/>
        <v>0.12820512820512819</v>
      </c>
      <c r="M8" s="153">
        <f t="shared" si="4"/>
        <v>0.12820512820512819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34"/>
      <c r="J9" s="94" t="str">
        <f t="shared" si="1"/>
        <v>Item 4</v>
      </c>
      <c r="K9" s="153">
        <f t="shared" si="2"/>
        <v>0</v>
      </c>
      <c r="L9" s="153">
        <f t="shared" si="3"/>
        <v>0</v>
      </c>
      <c r="M9" s="15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34"/>
      <c r="J10" s="94" t="str">
        <f t="shared" si="1"/>
        <v>Item 5</v>
      </c>
      <c r="K10" s="153">
        <f t="shared" si="2"/>
        <v>0</v>
      </c>
      <c r="L10" s="153">
        <f t="shared" si="3"/>
        <v>0</v>
      </c>
      <c r="M10" s="15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34"/>
      <c r="J11" s="94" t="str">
        <f t="shared" si="1"/>
        <v>Item 6</v>
      </c>
      <c r="K11" s="153">
        <f t="shared" si="2"/>
        <v>0</v>
      </c>
      <c r="L11" s="153">
        <f t="shared" si="3"/>
        <v>0</v>
      </c>
      <c r="M11" s="15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34"/>
      <c r="J12" s="94" t="str">
        <f t="shared" si="1"/>
        <v>Item 7</v>
      </c>
      <c r="K12" s="153">
        <f t="shared" si="2"/>
        <v>0</v>
      </c>
      <c r="L12" s="153">
        <f t="shared" si="3"/>
        <v>0</v>
      </c>
      <c r="M12" s="15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34"/>
      <c r="J13" s="94" t="str">
        <f t="shared" si="1"/>
        <v>Item 8</v>
      </c>
      <c r="K13" s="153">
        <f t="shared" si="2"/>
        <v>0</v>
      </c>
      <c r="L13" s="153">
        <f t="shared" si="3"/>
        <v>0</v>
      </c>
      <c r="M13" s="15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34"/>
      <c r="J14" s="94" t="str">
        <f t="shared" si="1"/>
        <v>Item 9</v>
      </c>
      <c r="K14" s="153">
        <f t="shared" si="2"/>
        <v>0</v>
      </c>
      <c r="L14" s="153">
        <f t="shared" si="3"/>
        <v>0</v>
      </c>
      <c r="M14" s="15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34"/>
      <c r="J15" s="94" t="str">
        <f t="shared" si="1"/>
        <v>Item 10</v>
      </c>
      <c r="K15" s="153">
        <f t="shared" si="2"/>
        <v>0</v>
      </c>
      <c r="L15" s="153">
        <f t="shared" si="3"/>
        <v>0</v>
      </c>
      <c r="M15" s="153">
        <f t="shared" si="4"/>
        <v>0</v>
      </c>
    </row>
    <row r="16" spans="5:13">
      <c r="E16" s="99" t="s">
        <v>8</v>
      </c>
      <c r="F16" s="99">
        <f>SUM(F6:F15)</f>
        <v>470574</v>
      </c>
      <c r="G16" s="99">
        <f>SUM(G6:G15)</f>
        <v>564688.80000000005</v>
      </c>
      <c r="H16" s="99">
        <f>SUM(H6:H15)</f>
        <v>649392.12</v>
      </c>
      <c r="I16" s="138"/>
      <c r="J16" s="152"/>
      <c r="K16" s="152"/>
      <c r="L16" s="152"/>
      <c r="M16" s="15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5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33"/>
      <c r="J19" s="63"/>
      <c r="K19" s="133"/>
      <c r="L19" s="133"/>
      <c r="M19" s="133"/>
    </row>
    <row r="20" spans="5:13">
      <c r="E20" s="114" t="s">
        <v>55</v>
      </c>
      <c r="F20" s="115">
        <v>0</v>
      </c>
      <c r="G20" s="115">
        <f>G5</f>
        <v>0.2</v>
      </c>
      <c r="H20" s="115">
        <f>H5</f>
        <v>0.15</v>
      </c>
      <c r="I20" s="132"/>
      <c r="K20" s="132"/>
      <c r="L20" s="132"/>
      <c r="M20" s="132"/>
    </row>
    <row r="21" spans="5:13">
      <c r="E21" s="94" t="str">
        <f>E6</f>
        <v>Shipping Services</v>
      </c>
      <c r="F21" s="94">
        <f>SUM(Inputs!C51:N51)</f>
        <v>144792</v>
      </c>
      <c r="G21" s="94">
        <f t="shared" ref="G21:H30" si="5">F21*(1+G$20)</f>
        <v>173750.39999999999</v>
      </c>
      <c r="H21" s="94">
        <f t="shared" si="5"/>
        <v>199812.96</v>
      </c>
      <c r="I21" s="134"/>
      <c r="J21" s="134"/>
      <c r="K21" s="134"/>
      <c r="L21" s="134"/>
      <c r="M21" s="134"/>
    </row>
    <row r="22" spans="5:13">
      <c r="E22" s="94" t="str">
        <f t="shared" ref="E22:E30" si="6">E7</f>
        <v>Packing Services</v>
      </c>
      <c r="F22" s="94">
        <f>SUM(Inputs!C52:N52)</f>
        <v>50677.2</v>
      </c>
      <c r="G22" s="94">
        <f t="shared" si="5"/>
        <v>60812.639999999992</v>
      </c>
      <c r="H22" s="94">
        <f t="shared" si="5"/>
        <v>69934.535999999993</v>
      </c>
      <c r="I22" s="134"/>
      <c r="J22" s="134"/>
      <c r="K22" s="134"/>
      <c r="L22" s="134"/>
      <c r="M22" s="134"/>
    </row>
    <row r="23" spans="5:13">
      <c r="E23" s="94" t="str">
        <f t="shared" si="6"/>
        <v>Business Services</v>
      </c>
      <c r="F23" s="94">
        <f>SUM(Inputs!C53:N53)</f>
        <v>3016.5</v>
      </c>
      <c r="G23" s="94">
        <f t="shared" si="5"/>
        <v>3619.7999999999997</v>
      </c>
      <c r="H23" s="94">
        <f t="shared" si="5"/>
        <v>4162.7699999999995</v>
      </c>
      <c r="I23" s="134"/>
      <c r="J23" s="134"/>
      <c r="K23" s="134"/>
      <c r="L23" s="134"/>
      <c r="M23" s="134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34"/>
      <c r="J24" s="134"/>
      <c r="K24" s="134"/>
      <c r="L24" s="134"/>
      <c r="M24" s="134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34"/>
      <c r="J25" s="134"/>
      <c r="K25" s="134"/>
      <c r="L25" s="134"/>
      <c r="M25" s="134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34"/>
      <c r="J26" s="134"/>
      <c r="K26" s="134"/>
      <c r="L26" s="134"/>
      <c r="M26" s="134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34"/>
      <c r="J27" s="134"/>
      <c r="K27" s="134"/>
      <c r="L27" s="134"/>
      <c r="M27" s="134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34"/>
      <c r="J28" s="134"/>
      <c r="K28" s="134"/>
      <c r="L28" s="134"/>
      <c r="M28" s="134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34"/>
      <c r="J29" s="134"/>
      <c r="K29" s="134"/>
      <c r="L29" s="134"/>
      <c r="M29" s="134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34"/>
      <c r="J30" s="134"/>
      <c r="K30" s="134"/>
      <c r="L30" s="134"/>
      <c r="M30" s="134"/>
    </row>
    <row r="31" spans="5:13">
      <c r="E31" s="100" t="s">
        <v>8</v>
      </c>
      <c r="F31" s="100">
        <f>SUM(F21:F30)</f>
        <v>198485.7</v>
      </c>
      <c r="G31" s="100">
        <f>SUM(G21:G30)</f>
        <v>238182.83999999997</v>
      </c>
      <c r="H31" s="100">
        <f>SUM(H21:H30)</f>
        <v>273910.266</v>
      </c>
      <c r="I31" s="134"/>
      <c r="J31" s="134"/>
      <c r="K31" s="134"/>
      <c r="L31" s="134"/>
      <c r="M31" s="134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2" workbookViewId="0">
      <selection activeCell="G32" sqref="G32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126</v>
      </c>
      <c r="E6" s="6">
        <v>30000</v>
      </c>
    </row>
    <row r="7" spans="4:5">
      <c r="D7" s="21" t="s">
        <v>133</v>
      </c>
      <c r="E7" s="6">
        <v>50000</v>
      </c>
    </row>
    <row r="8" spans="4:5">
      <c r="D8" s="21" t="s">
        <v>134</v>
      </c>
      <c r="E8" s="6">
        <v>5000</v>
      </c>
    </row>
    <row r="9" spans="4:5">
      <c r="D9" s="21" t="s">
        <v>135</v>
      </c>
      <c r="E9" s="6">
        <v>3500</v>
      </c>
    </row>
    <row r="10" spans="4:5">
      <c r="D10" s="21" t="s">
        <v>0</v>
      </c>
      <c r="E10" s="6">
        <v>101500</v>
      </c>
    </row>
    <row r="11" spans="4:5">
      <c r="D11" s="21" t="s">
        <v>136</v>
      </c>
      <c r="E11" s="6">
        <v>7500</v>
      </c>
    </row>
    <row r="12" spans="4:5">
      <c r="D12" s="21" t="s">
        <v>137</v>
      </c>
      <c r="E12" s="6">
        <v>2500</v>
      </c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200000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35000</v>
      </c>
    </row>
    <row r="22" spans="4:5">
      <c r="D22" s="4" t="s">
        <v>99</v>
      </c>
      <c r="E22" s="14">
        <v>165000</v>
      </c>
    </row>
    <row r="23" spans="4:5">
      <c r="D23" s="4" t="s">
        <v>100</v>
      </c>
      <c r="E23" s="14">
        <f>SUM(E21:E22)</f>
        <v>200000</v>
      </c>
    </row>
    <row r="27" spans="4:5">
      <c r="D27" s="118"/>
    </row>
    <row r="28" spans="4:5">
      <c r="D28" s="127"/>
      <c r="E28" s="1"/>
    </row>
    <row r="29" spans="4:5">
      <c r="D29" s="127"/>
      <c r="E29" s="1"/>
    </row>
    <row r="30" spans="4:5">
      <c r="D30" s="127"/>
      <c r="E30" s="1"/>
    </row>
    <row r="31" spans="4:5">
      <c r="D31" s="127"/>
      <c r="E31" s="1"/>
    </row>
    <row r="32" spans="4:5">
      <c r="D32" s="127"/>
      <c r="E32" s="1"/>
    </row>
    <row r="33" spans="4:5">
      <c r="D33" s="127"/>
      <c r="E33" s="1"/>
    </row>
    <row r="34" spans="4:5">
      <c r="D34" s="127"/>
      <c r="E34" s="1"/>
    </row>
    <row r="35" spans="4:5">
      <c r="D35" s="127"/>
      <c r="E35" s="1"/>
    </row>
    <row r="36" spans="4:5">
      <c r="D36" s="127"/>
      <c r="E36" s="1"/>
    </row>
    <row r="37" spans="4:5">
      <c r="D37" s="127"/>
      <c r="E37" s="1"/>
    </row>
    <row r="38" spans="4:5">
      <c r="D38" s="128"/>
      <c r="E38" s="129"/>
    </row>
    <row r="40" spans="4:5">
      <c r="D40" s="118"/>
    </row>
    <row r="41" spans="4:5">
      <c r="D41" s="127"/>
      <c r="E41" s="1"/>
    </row>
    <row r="42" spans="4:5">
      <c r="D42" s="127"/>
      <c r="E42" s="1"/>
    </row>
    <row r="43" spans="4:5">
      <c r="D43" s="127"/>
      <c r="E43" s="1"/>
    </row>
    <row r="44" spans="4:5">
      <c r="D44" s="127"/>
      <c r="E44" s="1"/>
    </row>
    <row r="45" spans="4:5">
      <c r="D45" s="127"/>
      <c r="E45" s="1"/>
    </row>
    <row r="46" spans="4:5">
      <c r="D46" s="127"/>
      <c r="E46" s="1"/>
    </row>
    <row r="47" spans="4:5">
      <c r="D47" s="127"/>
      <c r="E47" s="1"/>
    </row>
    <row r="48" spans="4:5">
      <c r="D48" s="127"/>
      <c r="E48" s="1"/>
    </row>
    <row r="49" spans="4:5">
      <c r="D49" s="127"/>
      <c r="E49" s="1"/>
    </row>
    <row r="50" spans="4:5">
      <c r="D50" s="127"/>
      <c r="E50" s="1"/>
    </row>
    <row r="51" spans="4:5">
      <c r="D51" s="128"/>
      <c r="E51" s="12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V20" sqref="V20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41"/>
      <c r="I5" s="14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4:21">
      <c r="D6" s="68" t="s">
        <v>51</v>
      </c>
      <c r="E6" s="69">
        <f>'Revenue Overview'!F16</f>
        <v>470574</v>
      </c>
      <c r="F6" s="69">
        <f>'Revenue Overview'!G16</f>
        <v>564688.80000000005</v>
      </c>
      <c r="G6" s="81">
        <f>'Revenue Overview'!H16</f>
        <v>649392.12</v>
      </c>
      <c r="H6" s="142"/>
      <c r="I6" s="142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</row>
    <row r="7" spans="4:21">
      <c r="D7" s="70" t="s">
        <v>52</v>
      </c>
      <c r="E7" s="71">
        <f>'Revenue Overview'!F31</f>
        <v>198485.7</v>
      </c>
      <c r="F7" s="71">
        <f>'Revenue Overview'!G31</f>
        <v>238182.83999999997</v>
      </c>
      <c r="G7" s="80">
        <f>'Revenue Overview'!H31</f>
        <v>273910.266</v>
      </c>
      <c r="H7" s="143"/>
      <c r="I7" s="143"/>
      <c r="J7" s="121"/>
      <c r="K7" s="118" t="s">
        <v>51</v>
      </c>
      <c r="L7" s="120">
        <f>E6</f>
        <v>470574</v>
      </c>
      <c r="M7" s="120">
        <f>F6</f>
        <v>564688.80000000005</v>
      </c>
      <c r="N7" s="120">
        <f>G6</f>
        <v>649392.12</v>
      </c>
      <c r="O7" s="120"/>
      <c r="P7" s="144"/>
      <c r="Q7" s="121"/>
      <c r="R7" s="121"/>
      <c r="S7" s="121"/>
      <c r="T7" s="121"/>
      <c r="U7" s="121"/>
    </row>
    <row r="8" spans="4:21">
      <c r="D8" s="72" t="s">
        <v>12</v>
      </c>
      <c r="E8" s="73">
        <f>1-(E7/E6)</f>
        <v>0.57820512820512815</v>
      </c>
      <c r="F8" s="73">
        <f t="shared" ref="F8:G8" si="0">1-(F7/F6)</f>
        <v>0.57820512820512837</v>
      </c>
      <c r="G8" s="140">
        <f t="shared" si="0"/>
        <v>0.57820512820512815</v>
      </c>
      <c r="H8" s="145"/>
      <c r="I8" s="145"/>
      <c r="J8" s="121"/>
      <c r="K8" s="118" t="s">
        <v>76</v>
      </c>
      <c r="L8" s="120">
        <f>E6</f>
        <v>470574</v>
      </c>
      <c r="M8" s="120">
        <f>F6</f>
        <v>564688.80000000005</v>
      </c>
      <c r="N8" s="120">
        <f>G6</f>
        <v>649392.12</v>
      </c>
      <c r="O8" s="120"/>
      <c r="P8" s="144"/>
      <c r="Q8" s="121"/>
      <c r="R8" s="121"/>
      <c r="S8" s="121"/>
      <c r="T8" s="121"/>
      <c r="U8" s="121"/>
    </row>
    <row r="9" spans="4:21">
      <c r="D9" s="74"/>
      <c r="E9" s="74"/>
      <c r="F9" s="74"/>
      <c r="G9" s="74"/>
      <c r="H9" s="146"/>
      <c r="I9" s="146"/>
      <c r="J9" s="121"/>
      <c r="K9" s="118"/>
      <c r="L9" s="120"/>
      <c r="M9" s="120"/>
      <c r="N9" s="120"/>
      <c r="O9" s="120"/>
      <c r="P9" s="144"/>
      <c r="Q9" s="121"/>
      <c r="R9" s="121"/>
      <c r="S9" s="121"/>
      <c r="T9" s="121"/>
      <c r="U9" s="121"/>
    </row>
    <row r="10" spans="4:21">
      <c r="D10" s="75" t="s">
        <v>10</v>
      </c>
      <c r="E10" s="76">
        <f>E6-E7</f>
        <v>272088.3</v>
      </c>
      <c r="F10" s="76">
        <f t="shared" ref="F10:G10" si="1">F6-F7</f>
        <v>326505.96000000008</v>
      </c>
      <c r="G10" s="84">
        <f t="shared" si="1"/>
        <v>375481.85399999999</v>
      </c>
      <c r="H10" s="142"/>
      <c r="I10" s="142"/>
      <c r="J10" s="121"/>
      <c r="K10" s="118" t="s">
        <v>47</v>
      </c>
      <c r="L10" s="120">
        <f>E23</f>
        <v>23445.425399999978</v>
      </c>
      <c r="M10" s="120">
        <f>F23</f>
        <v>66165.822980000084</v>
      </c>
      <c r="N10" s="120">
        <f>G23</f>
        <v>103336.28692700004</v>
      </c>
      <c r="O10" s="120"/>
      <c r="P10" s="144"/>
      <c r="Q10" s="121"/>
      <c r="R10" s="121"/>
      <c r="S10" s="121"/>
      <c r="T10" s="121"/>
      <c r="U10" s="121"/>
    </row>
    <row r="11" spans="4:21">
      <c r="D11" s="74"/>
      <c r="E11" s="74"/>
      <c r="F11" s="74"/>
      <c r="G11" s="74"/>
      <c r="H11" s="146"/>
      <c r="I11" s="146"/>
      <c r="J11" s="121"/>
      <c r="K11" s="118" t="s">
        <v>77</v>
      </c>
      <c r="L11" s="120">
        <f>L10</f>
        <v>23445.425399999978</v>
      </c>
      <c r="M11" s="120">
        <f t="shared" ref="M11:N11" si="2">M10</f>
        <v>66165.822980000084</v>
      </c>
      <c r="N11" s="120">
        <f t="shared" si="2"/>
        <v>103336.28692700004</v>
      </c>
      <c r="O11" s="120"/>
      <c r="P11" s="144"/>
      <c r="Q11" s="121"/>
      <c r="R11" s="121"/>
      <c r="S11" s="121"/>
      <c r="T11" s="121"/>
      <c r="U11" s="121"/>
    </row>
    <row r="12" spans="4:21">
      <c r="D12" s="74" t="s">
        <v>13</v>
      </c>
      <c r="E12" s="74"/>
      <c r="F12" s="74"/>
      <c r="G12" s="74"/>
      <c r="H12" s="146"/>
      <c r="I12" s="146"/>
      <c r="J12" s="121"/>
      <c r="K12" s="118"/>
      <c r="L12" s="118"/>
      <c r="M12" s="118"/>
      <c r="N12" s="118"/>
      <c r="O12" s="118"/>
      <c r="P12" s="121"/>
      <c r="Q12" s="121"/>
      <c r="R12" s="121"/>
      <c r="S12" s="121"/>
      <c r="T12" s="121"/>
      <c r="U12" s="121"/>
    </row>
    <row r="13" spans="4:21">
      <c r="D13" s="77" t="s">
        <v>53</v>
      </c>
      <c r="E13" s="78">
        <f>'Personnel - Editable'!H16</f>
        <v>182500</v>
      </c>
      <c r="F13" s="78">
        <f>'Personnel - Editable'!I16</f>
        <v>187975</v>
      </c>
      <c r="G13" s="78">
        <f>'Personnel - Editable'!J16</f>
        <v>193614.25</v>
      </c>
      <c r="H13" s="143"/>
      <c r="I13" s="143"/>
      <c r="J13" s="121"/>
      <c r="K13" s="118" t="s">
        <v>75</v>
      </c>
      <c r="L13" s="120">
        <f>E21</f>
        <v>248642.87460000001</v>
      </c>
      <c r="M13" s="120">
        <f>F21</f>
        <v>260340.13701999999</v>
      </c>
      <c r="N13" s="120">
        <f>G21</f>
        <v>272145.56707299995</v>
      </c>
      <c r="O13" s="120"/>
      <c r="P13" s="144"/>
      <c r="Q13" s="121"/>
      <c r="R13" s="121"/>
      <c r="S13" s="121"/>
      <c r="T13" s="121"/>
      <c r="U13" s="121"/>
    </row>
    <row r="14" spans="4:21">
      <c r="D14" s="79" t="str">
        <f>Inputs!B18</f>
        <v>Facility Costs</v>
      </c>
      <c r="E14" s="80">
        <f>Inputs!C18</f>
        <v>24000</v>
      </c>
      <c r="F14" s="80">
        <f>Inputs!D18</f>
        <v>24720</v>
      </c>
      <c r="G14" s="80">
        <f>Inputs!E18</f>
        <v>25461.600000000002</v>
      </c>
      <c r="H14" s="143"/>
      <c r="I14" s="143"/>
      <c r="J14" s="121"/>
      <c r="K14" s="118" t="s">
        <v>78</v>
      </c>
      <c r="L14" s="120">
        <f>E21</f>
        <v>248642.87460000001</v>
      </c>
      <c r="M14" s="120">
        <f>F21</f>
        <v>260340.13701999999</v>
      </c>
      <c r="N14" s="120">
        <f>G21</f>
        <v>272145.56707299995</v>
      </c>
      <c r="O14" s="120"/>
      <c r="P14" s="144"/>
      <c r="Q14" s="121"/>
      <c r="R14" s="121"/>
      <c r="S14" s="121"/>
      <c r="T14" s="121"/>
      <c r="U14" s="121"/>
    </row>
    <row r="15" spans="4:21">
      <c r="D15" s="108" t="str">
        <f>Inputs!B19</f>
        <v>General and Administrative</v>
      </c>
      <c r="E15" s="78">
        <f>Inputs!C19</f>
        <v>7388.0117999999993</v>
      </c>
      <c r="F15" s="78">
        <f>Inputs!D19</f>
        <v>8865.6141599999992</v>
      </c>
      <c r="G15" s="78">
        <f>Inputs!E19</f>
        <v>10195.456284</v>
      </c>
      <c r="H15" s="143"/>
      <c r="I15" s="143"/>
      <c r="J15" s="121"/>
      <c r="K15" s="118"/>
      <c r="L15" s="118"/>
      <c r="M15" s="118"/>
      <c r="N15" s="118"/>
      <c r="O15" s="118"/>
      <c r="P15" s="121"/>
      <c r="Q15" s="121"/>
      <c r="R15" s="121"/>
      <c r="S15" s="121"/>
      <c r="T15" s="121"/>
      <c r="U15" s="121"/>
    </row>
    <row r="16" spans="4:21">
      <c r="D16" s="79" t="str">
        <f>Inputs!B20</f>
        <v>Equipment Costs</v>
      </c>
      <c r="E16" s="80">
        <f>Inputs!C20</f>
        <v>7152.7248</v>
      </c>
      <c r="F16" s="80">
        <f>Inputs!D20</f>
        <v>8583.269760000001</v>
      </c>
      <c r="G16" s="80">
        <f>Inputs!E20</f>
        <v>9870.7602239999997</v>
      </c>
      <c r="H16" s="143"/>
      <c r="I16" s="143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</row>
    <row r="17" spans="4:21">
      <c r="D17" s="108" t="str">
        <f>Inputs!B21</f>
        <v>Insurance Costs</v>
      </c>
      <c r="E17" s="78">
        <f>Inputs!C21</f>
        <v>5475</v>
      </c>
      <c r="F17" s="78">
        <f>Inputs!D21</f>
        <v>5639.25</v>
      </c>
      <c r="G17" s="78">
        <f>Inputs!E21</f>
        <v>5808.4274999999998</v>
      </c>
      <c r="H17" s="143"/>
      <c r="I17" s="143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</row>
    <row r="18" spans="4:21">
      <c r="D18" s="79" t="str">
        <f>Inputs!B22</f>
        <v>Marketing</v>
      </c>
      <c r="E18" s="80">
        <f>Inputs!C22</f>
        <v>5646.8879999999999</v>
      </c>
      <c r="F18" s="80">
        <f>Inputs!D22</f>
        <v>6776.2656000000006</v>
      </c>
      <c r="G18" s="80">
        <f>Inputs!E22</f>
        <v>7792.7054399999997</v>
      </c>
      <c r="H18" s="143"/>
      <c r="I18" s="143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</row>
    <row r="19" spans="4:21">
      <c r="D19" s="108" t="str">
        <f>Inputs!B23</f>
        <v>Professional Fees and Licensure</v>
      </c>
      <c r="E19" s="78">
        <f>Inputs!C23</f>
        <v>2519</v>
      </c>
      <c r="F19" s="78">
        <f>Inputs!D23</f>
        <v>3400.65</v>
      </c>
      <c r="G19" s="78">
        <f>Inputs!E23</f>
        <v>4590.8775000000005</v>
      </c>
      <c r="H19" s="143"/>
      <c r="I19" s="143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</row>
    <row r="20" spans="4:21">
      <c r="D20" s="79" t="s">
        <v>14</v>
      </c>
      <c r="E20" s="80">
        <f>E13*'Tax Assumptions '!F9</f>
        <v>13961.25</v>
      </c>
      <c r="F20" s="80">
        <f>F13*'Tax Assumptions '!G9</f>
        <v>14380.0875</v>
      </c>
      <c r="G20" s="80">
        <f>G13*'Tax Assumptions '!H9</f>
        <v>14811.490125</v>
      </c>
      <c r="H20" s="143"/>
      <c r="I20" s="143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</row>
    <row r="21" spans="4:21">
      <c r="D21" s="68" t="s">
        <v>75</v>
      </c>
      <c r="E21" s="81">
        <f>SUM(E13:E20)</f>
        <v>248642.87460000001</v>
      </c>
      <c r="F21" s="81">
        <f t="shared" ref="F21:G21" si="3">SUM(F13:F20)</f>
        <v>260340.13701999999</v>
      </c>
      <c r="G21" s="81">
        <f t="shared" si="3"/>
        <v>272145.56707299995</v>
      </c>
      <c r="H21" s="142"/>
      <c r="I21" s="142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</row>
    <row r="22" spans="4:21">
      <c r="D22" s="74"/>
      <c r="E22" s="74"/>
      <c r="F22" s="74"/>
      <c r="G22" s="74"/>
      <c r="H22" s="146"/>
      <c r="I22" s="146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</row>
    <row r="23" spans="4:21">
      <c r="D23" s="82" t="s">
        <v>47</v>
      </c>
      <c r="E23" s="83">
        <f>E10-E21</f>
        <v>23445.425399999978</v>
      </c>
      <c r="F23" s="83">
        <f t="shared" ref="F23:G23" si="4">F10-F21</f>
        <v>66165.822980000084</v>
      </c>
      <c r="G23" s="83">
        <f t="shared" si="4"/>
        <v>103336.28692700004</v>
      </c>
      <c r="H23" s="142"/>
      <c r="I23" s="142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</row>
    <row r="24" spans="4:21">
      <c r="D24" s="72" t="s">
        <v>15</v>
      </c>
      <c r="E24" s="78">
        <f>(E23-E26-E27)*'Tax Assumptions '!F7</f>
        <v>667.41824857324218</v>
      </c>
      <c r="F24" s="78">
        <f>(F23-F26-F27)*'Tax Assumptions '!G7</f>
        <v>11561.021454178852</v>
      </c>
      <c r="G24" s="78">
        <f>(G23-G26-G27)*'Tax Assumptions '!H7</f>
        <v>21082.575459266216</v>
      </c>
      <c r="H24" s="143"/>
      <c r="I24" s="143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</row>
    <row r="25" spans="4:21">
      <c r="D25" s="70" t="s">
        <v>102</v>
      </c>
      <c r="E25" s="80">
        <f>(E23-E26-E27)*'Tax Assumptions '!F8</f>
        <v>133.48364971464844</v>
      </c>
      <c r="F25" s="80">
        <f>(F23-F26-F27)*'Tax Assumptions '!G8</f>
        <v>2312.2042908357703</v>
      </c>
      <c r="G25" s="80">
        <f>(G23-G26-G27)*'Tax Assumptions '!H8</f>
        <v>4216.5150918532436</v>
      </c>
      <c r="H25" s="143"/>
      <c r="I25" s="143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</row>
    <row r="26" spans="4:21">
      <c r="D26" s="72" t="s">
        <v>16</v>
      </c>
      <c r="E26" s="78">
        <f>SUM('Loan Amortization Table'!D14:D25)</f>
        <v>11175.75240570701</v>
      </c>
      <c r="F26" s="78">
        <f>SUM('Loan Amortization Table'!D26:D37)</f>
        <v>10321.737163284677</v>
      </c>
      <c r="G26" s="78">
        <f>SUM('Loan Amortization Table'!D38:D49)</f>
        <v>9405.9850899351768</v>
      </c>
      <c r="H26" s="134"/>
      <c r="I26" s="134"/>
    </row>
    <row r="27" spans="4:21">
      <c r="D27" s="70" t="s">
        <v>54</v>
      </c>
      <c r="E27" s="80">
        <v>9600</v>
      </c>
      <c r="F27" s="80">
        <v>9600</v>
      </c>
      <c r="G27" s="80">
        <v>9600</v>
      </c>
      <c r="H27" s="134"/>
      <c r="I27" s="134"/>
    </row>
    <row r="28" spans="4:21">
      <c r="D28" s="82" t="s">
        <v>17</v>
      </c>
      <c r="E28" s="83">
        <f>E23-SUM(E24:E27)</f>
        <v>1868.771096005079</v>
      </c>
      <c r="F28" s="83">
        <f t="shared" ref="F28:G28" si="5">F23-SUM(F24:F27)</f>
        <v>32370.860071700787</v>
      </c>
      <c r="G28" s="83">
        <f t="shared" si="5"/>
        <v>59031.211285945406</v>
      </c>
      <c r="H28" s="138"/>
      <c r="I28" s="138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33"/>
      <c r="I31" s="133"/>
      <c r="K31" s="1"/>
      <c r="L31" s="1"/>
      <c r="M31" s="1"/>
    </row>
    <row r="32" spans="4:21">
      <c r="D32" s="68" t="s">
        <v>51</v>
      </c>
      <c r="E32" s="69">
        <f>E6</f>
        <v>470574</v>
      </c>
      <c r="F32" s="69">
        <f t="shared" ref="F32:G32" si="6">F6</f>
        <v>564688.80000000005</v>
      </c>
      <c r="G32" s="81">
        <f t="shared" si="6"/>
        <v>649392.12</v>
      </c>
      <c r="H32" s="138"/>
      <c r="I32" s="138"/>
    </row>
    <row r="33" spans="4:13">
      <c r="D33" s="70" t="s">
        <v>52</v>
      </c>
      <c r="E33" s="71">
        <f>E7</f>
        <v>198485.7</v>
      </c>
      <c r="F33" s="71">
        <f t="shared" ref="F33:G33" si="7">F7</f>
        <v>238182.83999999997</v>
      </c>
      <c r="G33" s="80">
        <f t="shared" si="7"/>
        <v>273910.266</v>
      </c>
      <c r="H33" s="134"/>
      <c r="I33" s="134"/>
    </row>
    <row r="34" spans="4:13">
      <c r="D34" s="68" t="s">
        <v>10</v>
      </c>
      <c r="E34" s="69">
        <f>E10</f>
        <v>272088.3</v>
      </c>
      <c r="F34" s="69">
        <f t="shared" ref="F34:G34" si="8">F10</f>
        <v>326505.96000000008</v>
      </c>
      <c r="G34" s="81">
        <f t="shared" si="8"/>
        <v>375481.85399999999</v>
      </c>
      <c r="H34" s="138"/>
      <c r="I34" s="138"/>
      <c r="K34" s="1"/>
      <c r="L34" s="1"/>
      <c r="M34" s="1"/>
    </row>
    <row r="35" spans="4:13">
      <c r="D35" s="75" t="s">
        <v>13</v>
      </c>
      <c r="E35" s="84">
        <f>E21</f>
        <v>248642.87460000001</v>
      </c>
      <c r="F35" s="84">
        <f t="shared" ref="F35:G35" si="9">F21</f>
        <v>260340.13701999999</v>
      </c>
      <c r="G35" s="84">
        <f t="shared" si="9"/>
        <v>272145.56707299995</v>
      </c>
      <c r="H35" s="138"/>
      <c r="I35" s="138"/>
    </row>
    <row r="36" spans="4:13">
      <c r="D36" s="82" t="s">
        <v>47</v>
      </c>
      <c r="E36" s="83">
        <f>E23</f>
        <v>23445.425399999978</v>
      </c>
      <c r="F36" s="83">
        <f t="shared" ref="F36:G36" si="10">F23</f>
        <v>66165.822980000084</v>
      </c>
      <c r="G36" s="83">
        <f t="shared" si="10"/>
        <v>103336.28692700004</v>
      </c>
      <c r="H36" s="138"/>
      <c r="I36" s="138"/>
    </row>
    <row r="38" spans="4:13">
      <c r="D38" s="121"/>
      <c r="E38" s="121"/>
      <c r="F38" s="121"/>
      <c r="G38" s="121"/>
    </row>
    <row r="39" spans="4:13">
      <c r="D39" s="121"/>
      <c r="E39" s="121"/>
      <c r="F39" s="121"/>
      <c r="G39" s="121"/>
    </row>
    <row r="40" spans="4:13">
      <c r="D40" s="121"/>
      <c r="E40" s="121"/>
      <c r="F40" s="121"/>
      <c r="G40" s="121"/>
    </row>
    <row r="41" spans="4:13">
      <c r="D41" s="121"/>
      <c r="E41" s="121"/>
      <c r="F41" s="121"/>
      <c r="G41" s="121"/>
    </row>
    <row r="42" spans="4:13">
      <c r="D42" s="121"/>
      <c r="E42" s="121"/>
      <c r="F42" s="121"/>
      <c r="G42" s="121"/>
    </row>
    <row r="43" spans="4:13">
      <c r="D43" s="121"/>
      <c r="E43" s="121"/>
      <c r="F43" s="121"/>
      <c r="G43" s="121"/>
    </row>
    <row r="44" spans="4:13">
      <c r="D44" s="121"/>
      <c r="E44" s="121"/>
      <c r="F44" s="121"/>
      <c r="G44" s="121"/>
    </row>
    <row r="45" spans="4:13">
      <c r="D45" s="121"/>
      <c r="E45" s="121"/>
      <c r="F45" s="121"/>
      <c r="G45" s="121"/>
    </row>
    <row r="46" spans="4:13">
      <c r="D46" s="121"/>
      <c r="E46" s="121"/>
      <c r="F46" s="121"/>
      <c r="G46" s="121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W27" sqref="W27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33"/>
      <c r="I5" s="133"/>
    </row>
    <row r="6" spans="4:9">
      <c r="D6" s="68" t="s">
        <v>67</v>
      </c>
      <c r="E6" s="81">
        <f>'Profit and Loss Statement'!E28+'Profit and Loss Statement'!E27</f>
        <v>11468.771096005079</v>
      </c>
      <c r="F6" s="81">
        <f>'Profit and Loss Statement'!F28+'Profit and Loss Statement'!F27</f>
        <v>41970.860071700787</v>
      </c>
      <c r="G6" s="81">
        <f>'Profit and Loss Statement'!G28+'Profit and Loss Statement'!G27</f>
        <v>68631.211285945406</v>
      </c>
      <c r="H6" s="138"/>
      <c r="I6" s="138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35000</v>
      </c>
      <c r="F9" s="87">
        <v>0</v>
      </c>
      <c r="G9" s="87">
        <v>0</v>
      </c>
      <c r="H9" s="137"/>
      <c r="I9" s="137"/>
    </row>
    <row r="10" spans="4:9">
      <c r="D10" s="70" t="s">
        <v>21</v>
      </c>
      <c r="E10" s="88">
        <f>'Use of Funds'!E22</f>
        <v>165000</v>
      </c>
      <c r="F10" s="88">
        <v>0</v>
      </c>
      <c r="G10" s="88">
        <v>0</v>
      </c>
      <c r="H10" s="137"/>
      <c r="I10" s="137"/>
    </row>
    <row r="11" spans="4:9">
      <c r="D11" s="72" t="s">
        <v>22</v>
      </c>
      <c r="E11" s="78">
        <v>5390</v>
      </c>
      <c r="F11" s="78">
        <f>E11*1.02</f>
        <v>5497.8</v>
      </c>
      <c r="G11" s="78">
        <f>F11*1.02</f>
        <v>5607.7560000000003</v>
      </c>
      <c r="H11" s="134"/>
      <c r="I11" s="134"/>
    </row>
    <row r="12" spans="4:9">
      <c r="D12" s="75" t="s">
        <v>23</v>
      </c>
      <c r="E12" s="89">
        <f>SUM(E9:E11)</f>
        <v>205390</v>
      </c>
      <c r="F12" s="89">
        <f t="shared" ref="F12:G12" si="0">SUM(F9:F11)</f>
        <v>5497.8</v>
      </c>
      <c r="G12" s="89">
        <f t="shared" si="0"/>
        <v>5607.7560000000003</v>
      </c>
      <c r="H12" s="139"/>
      <c r="I12" s="139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216858.77109600508</v>
      </c>
      <c r="F15" s="90">
        <f t="shared" ref="F15:G15" si="1">F12+F6</f>
        <v>47468.66007170079</v>
      </c>
      <c r="G15" s="90">
        <f t="shared" si="1"/>
        <v>74238.9672859454</v>
      </c>
      <c r="H15" s="139"/>
      <c r="I15" s="139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11813.726479580551</v>
      </c>
      <c r="F18" s="80">
        <f>SUM('Loan Amortization Table'!C26:C37)</f>
        <v>12667.741722002884</v>
      </c>
      <c r="G18" s="80">
        <f>SUM('Loan Amortization Table'!C38:C49)</f>
        <v>13583.493795352388</v>
      </c>
      <c r="H18" s="134"/>
      <c r="I18" s="134"/>
    </row>
    <row r="19" spans="4:9">
      <c r="D19" s="72" t="s">
        <v>25</v>
      </c>
      <c r="E19" s="78">
        <f>E11*0.7</f>
        <v>3772.9999999999995</v>
      </c>
      <c r="F19" s="78">
        <f t="shared" ref="F19:G19" si="2">F11*0.7</f>
        <v>3848.46</v>
      </c>
      <c r="G19" s="78">
        <f t="shared" si="2"/>
        <v>3925.4292</v>
      </c>
      <c r="H19" s="134"/>
      <c r="I19" s="134"/>
    </row>
    <row r="20" spans="4:9">
      <c r="D20" s="70" t="s">
        <v>33</v>
      </c>
      <c r="E20" s="80">
        <f>'Use of Funds'!E6+'Use of Funds'!E7+'Use of Funds'!E8+'Use of Funds'!E9+'Use of Funds'!E11</f>
        <v>96000</v>
      </c>
      <c r="F20" s="80">
        <v>0</v>
      </c>
      <c r="G20" s="80">
        <v>0</v>
      </c>
      <c r="H20" s="134"/>
      <c r="I20" s="134"/>
    </row>
    <row r="21" spans="4:9">
      <c r="D21" s="72" t="s">
        <v>32</v>
      </c>
      <c r="E21" s="78">
        <f>E6*0.7</f>
        <v>8028.1397672035546</v>
      </c>
      <c r="F21" s="78">
        <f t="shared" ref="F21:G21" si="3">F6*0.7</f>
        <v>29379.602050190548</v>
      </c>
      <c r="G21" s="78">
        <f t="shared" si="3"/>
        <v>48041.847900161782</v>
      </c>
      <c r="H21" s="134"/>
      <c r="I21" s="134"/>
    </row>
    <row r="22" spans="4:9">
      <c r="D22" s="75" t="s">
        <v>26</v>
      </c>
      <c r="E22" s="84">
        <f>SUM(E18:E21)</f>
        <v>119614.86624678411</v>
      </c>
      <c r="F22" s="84">
        <f t="shared" ref="F22:G22" si="4">SUM(F18:F21)</f>
        <v>45895.803772193431</v>
      </c>
      <c r="G22" s="84">
        <f t="shared" si="4"/>
        <v>65550.770895514172</v>
      </c>
      <c r="H22" s="138"/>
      <c r="I22" s="138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97243.904849220969</v>
      </c>
      <c r="F24" s="91">
        <f t="shared" ref="F24:G24" si="5">F15-F22</f>
        <v>1572.8562995073589</v>
      </c>
      <c r="G24" s="91">
        <f t="shared" si="5"/>
        <v>8688.1963904312288</v>
      </c>
      <c r="H24" s="139"/>
      <c r="I24" s="139"/>
    </row>
    <row r="25" spans="4:9">
      <c r="D25" s="82" t="s">
        <v>6</v>
      </c>
      <c r="E25" s="91">
        <f>E24</f>
        <v>97243.904849220969</v>
      </c>
      <c r="F25" s="91">
        <f>E25+F24</f>
        <v>98816.761148728328</v>
      </c>
      <c r="G25" s="91">
        <f>F25+G24</f>
        <v>107504.95753915956</v>
      </c>
      <c r="H25" s="139"/>
      <c r="I25" s="139"/>
    </row>
    <row r="28" spans="4:9">
      <c r="D28" s="118" t="s">
        <v>79</v>
      </c>
      <c r="E28" s="120">
        <f>E6</f>
        <v>11468.771096005079</v>
      </c>
      <c r="F28" s="120">
        <f t="shared" ref="F28:G28" si="6">F6</f>
        <v>41970.860071700787</v>
      </c>
      <c r="G28" s="120">
        <f t="shared" si="6"/>
        <v>68631.211285945406</v>
      </c>
      <c r="H28" s="1"/>
      <c r="I28" s="1"/>
    </row>
    <row r="29" spans="4:9">
      <c r="D29" s="118" t="s">
        <v>80</v>
      </c>
      <c r="E29" s="120">
        <f>E18</f>
        <v>11813.726479580551</v>
      </c>
      <c r="F29" s="120">
        <f t="shared" ref="F29:G29" si="7">F18</f>
        <v>12667.741722002884</v>
      </c>
      <c r="G29" s="120">
        <f t="shared" si="7"/>
        <v>13583.493795352388</v>
      </c>
      <c r="H29" s="1"/>
      <c r="I29" s="1"/>
    </row>
    <row r="30" spans="4:9">
      <c r="D30" s="118" t="s">
        <v>81</v>
      </c>
      <c r="E30" s="120">
        <f>E21</f>
        <v>8028.1397672035546</v>
      </c>
      <c r="F30" s="120">
        <f t="shared" ref="F30:G30" si="8">F21</f>
        <v>29379.602050190548</v>
      </c>
      <c r="G30" s="120">
        <f t="shared" si="8"/>
        <v>48041.847900161782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workbookViewId="0">
      <selection activeCell="T11" sqref="T11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33"/>
      <c r="I5" s="133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97243.904849220969</v>
      </c>
      <c r="F7" s="78">
        <f>'Cash Flow Analysis'!F25</f>
        <v>98816.761148728328</v>
      </c>
      <c r="G7" s="78">
        <f>'Cash Flow Analysis'!G25</f>
        <v>107504.95753915956</v>
      </c>
      <c r="H7" s="134"/>
      <c r="I7" s="134"/>
    </row>
    <row r="8" spans="4:9">
      <c r="D8" s="66" t="s">
        <v>123</v>
      </c>
      <c r="E8" s="94">
        <f>'Cash Flow Analysis'!E20</f>
        <v>96000</v>
      </c>
      <c r="F8" s="94">
        <f>E8+'Cash Flow Analysis'!F20</f>
        <v>96000</v>
      </c>
      <c r="G8" s="94">
        <f>F8+'Cash Flow Analysis'!G20</f>
        <v>96000</v>
      </c>
      <c r="H8" s="134"/>
      <c r="I8" s="134"/>
    </row>
    <row r="9" spans="4:9">
      <c r="D9" s="72" t="s">
        <v>48</v>
      </c>
      <c r="E9" s="87">
        <f>-'Profit and Loss Statement'!E27</f>
        <v>-9600</v>
      </c>
      <c r="F9" s="87">
        <f>E9-'Profit and Loss Statement'!F27</f>
        <v>-19200</v>
      </c>
      <c r="G9" s="87">
        <f>F9-'Profit and Loss Statement'!G27</f>
        <v>-28800</v>
      </c>
      <c r="H9" s="137"/>
      <c r="I9" s="137"/>
    </row>
    <row r="10" spans="4:9">
      <c r="D10" s="95" t="s">
        <v>7</v>
      </c>
      <c r="E10" s="96">
        <f>SUM(E7:E9)</f>
        <v>183643.90484922097</v>
      </c>
      <c r="F10" s="96">
        <f t="shared" ref="F10:G10" si="0">SUM(F7:F9)</f>
        <v>175616.76114872831</v>
      </c>
      <c r="G10" s="96">
        <f t="shared" si="0"/>
        <v>174704.95753915957</v>
      </c>
      <c r="H10" s="138"/>
      <c r="I10" s="138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1617.0000000000005</v>
      </c>
      <c r="F13" s="78">
        <f>E13+('Cash Flow Analysis'!F11-'Cash Flow Analysis'!F19)</f>
        <v>3266.3400000000006</v>
      </c>
      <c r="G13" s="78">
        <f>F13+('Cash Flow Analysis'!G11-'Cash Flow Analysis'!G19)</f>
        <v>4948.6668000000009</v>
      </c>
      <c r="H13" s="134"/>
      <c r="I13" s="134"/>
    </row>
    <row r="14" spans="4:9">
      <c r="D14" s="66" t="s">
        <v>73</v>
      </c>
      <c r="E14" s="94">
        <f>'Loan Amortization Table'!E25</f>
        <v>153186.27352041937</v>
      </c>
      <c r="F14" s="94">
        <f>'Loan Amortization Table'!E37</f>
        <v>140518.53179841652</v>
      </c>
      <c r="G14" s="94">
        <f>'Loan Amortization Table'!E49</f>
        <v>126935.03800306408</v>
      </c>
      <c r="H14" s="134"/>
      <c r="I14" s="134"/>
    </row>
    <row r="15" spans="4:9">
      <c r="D15" s="68" t="s">
        <v>30</v>
      </c>
      <c r="E15" s="81">
        <f>SUM(E13:E14)</f>
        <v>154803.27352041937</v>
      </c>
      <c r="F15" s="81">
        <f t="shared" ref="F15:G15" si="1">SUM(F13:F14)</f>
        <v>143784.87179841651</v>
      </c>
      <c r="G15" s="81">
        <f t="shared" si="1"/>
        <v>131883.70480306409</v>
      </c>
      <c r="H15" s="138"/>
      <c r="I15" s="138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28840.631328801595</v>
      </c>
      <c r="F17" s="83">
        <f t="shared" ref="F17:G17" si="2">F10-F15</f>
        <v>31831.889350311802</v>
      </c>
      <c r="G17" s="83">
        <f t="shared" si="2"/>
        <v>42821.252736095485</v>
      </c>
      <c r="H17" s="138"/>
      <c r="I17" s="138"/>
    </row>
    <row r="18" spans="4:9">
      <c r="D18" s="82" t="s">
        <v>31</v>
      </c>
      <c r="E18" s="83">
        <f>E15+E17</f>
        <v>183643.90484922097</v>
      </c>
      <c r="F18" s="83">
        <f t="shared" ref="F18:G18" si="3">F15+F17</f>
        <v>175616.76114872831</v>
      </c>
      <c r="G18" s="83">
        <f t="shared" si="3"/>
        <v>174704.95753915957</v>
      </c>
      <c r="H18" s="138"/>
      <c r="I18" s="138"/>
    </row>
    <row r="21" spans="4:9">
      <c r="D21" s="118" t="s">
        <v>82</v>
      </c>
      <c r="E21" s="120">
        <f>E10-1</f>
        <v>183642.90484922097</v>
      </c>
      <c r="F21" s="120">
        <f t="shared" ref="F21:G21" si="4">F10-1</f>
        <v>175615.76114872831</v>
      </c>
      <c r="G21" s="120">
        <f t="shared" si="4"/>
        <v>174703.95753915957</v>
      </c>
      <c r="H21" s="120">
        <f t="shared" ref="H21:I21" si="5">H10-1</f>
        <v>-1</v>
      </c>
      <c r="I21" s="120">
        <f t="shared" si="5"/>
        <v>-1</v>
      </c>
    </row>
    <row r="22" spans="4:9">
      <c r="D22" s="118" t="s">
        <v>83</v>
      </c>
      <c r="E22" s="120">
        <f>E15</f>
        <v>154803.27352041937</v>
      </c>
      <c r="F22" s="120">
        <f t="shared" ref="F22:G22" si="6">F15</f>
        <v>143784.87179841651</v>
      </c>
      <c r="G22" s="120">
        <f t="shared" si="6"/>
        <v>131883.70480306409</v>
      </c>
      <c r="H22" s="120">
        <f t="shared" ref="H22:I22" si="7">H15</f>
        <v>0</v>
      </c>
      <c r="I22" s="120">
        <f t="shared" si="7"/>
        <v>0</v>
      </c>
    </row>
    <row r="23" spans="4:9">
      <c r="D23" s="118" t="s">
        <v>84</v>
      </c>
      <c r="E23" s="120">
        <f>E17</f>
        <v>28840.631328801595</v>
      </c>
      <c r="F23" s="120">
        <f t="shared" ref="F23:G23" si="8">F17</f>
        <v>31831.889350311802</v>
      </c>
      <c r="G23" s="120">
        <f t="shared" si="8"/>
        <v>42821.252736095485</v>
      </c>
      <c r="H23" s="120">
        <f t="shared" ref="H23:I23" si="9">H17</f>
        <v>0</v>
      </c>
      <c r="I23" s="120">
        <f t="shared" si="9"/>
        <v>0</v>
      </c>
    </row>
    <row r="24" spans="4:9">
      <c r="D24" s="118"/>
      <c r="E24" s="120"/>
      <c r="F24" s="120"/>
      <c r="G24" s="120"/>
      <c r="H24" s="118"/>
      <c r="I24" s="118"/>
    </row>
    <row r="25" spans="4:9">
      <c r="D25" s="118"/>
      <c r="E25" s="120"/>
      <c r="F25" s="120"/>
      <c r="G25" s="120"/>
      <c r="H25" s="118"/>
      <c r="I25" s="118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topLeftCell="A3" workbookViewId="0">
      <selection activeCell="U17" sqref="U17"/>
    </sheetView>
  </sheetViews>
  <sheetFormatPr defaultRowHeight="15"/>
  <cols>
    <col min="2" max="2" width="29.7109375" customWidth="1"/>
    <col min="3" max="3" width="10.42578125" customWidth="1"/>
    <col min="4" max="4" width="10" customWidth="1"/>
    <col min="5" max="5" width="9.7109375" customWidth="1"/>
    <col min="6" max="6" width="9.5703125" customWidth="1"/>
    <col min="7" max="7" width="10.140625" customWidth="1"/>
    <col min="8" max="8" width="9.5703125" customWidth="1"/>
    <col min="9" max="9" width="9.855468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39000</v>
      </c>
      <c r="D6" s="6">
        <f>Inputs!D42</f>
        <v>39039</v>
      </c>
      <c r="E6" s="6">
        <f>Inputs!E42</f>
        <v>39078</v>
      </c>
      <c r="F6" s="6">
        <f>Inputs!F42</f>
        <v>39117</v>
      </c>
      <c r="G6" s="6">
        <f>Inputs!G42</f>
        <v>39156</v>
      </c>
      <c r="H6" s="6">
        <f>Inputs!H42</f>
        <v>39195</v>
      </c>
      <c r="I6" s="6">
        <f>Inputs!I42</f>
        <v>39234</v>
      </c>
    </row>
    <row r="7" spans="2:9">
      <c r="B7" s="31" t="s">
        <v>52</v>
      </c>
      <c r="C7" s="6">
        <f>Inputs!C61</f>
        <v>16450</v>
      </c>
      <c r="D7" s="6">
        <f>Inputs!D61</f>
        <v>16466.45</v>
      </c>
      <c r="E7" s="6">
        <f>Inputs!E61</f>
        <v>16482.900000000001</v>
      </c>
      <c r="F7" s="6">
        <f>Inputs!F61</f>
        <v>16499.349999999999</v>
      </c>
      <c r="G7" s="6">
        <f>Inputs!G61</f>
        <v>16515.8</v>
      </c>
      <c r="H7" s="6">
        <f>Inputs!H61</f>
        <v>16532.25</v>
      </c>
      <c r="I7" s="6">
        <f>Inputs!I61</f>
        <v>16548.7</v>
      </c>
    </row>
    <row r="8" spans="2:9">
      <c r="B8" s="29" t="s">
        <v>12</v>
      </c>
      <c r="C8" s="17">
        <f>1-(C7/C6)</f>
        <v>0.57820512820512815</v>
      </c>
      <c r="D8" s="17">
        <f t="shared" ref="D8:I8" si="1">1-(D7/D6)</f>
        <v>0.57820512820512815</v>
      </c>
      <c r="E8" s="17">
        <f t="shared" si="1"/>
        <v>0.57820512820512815</v>
      </c>
      <c r="F8" s="17">
        <f t="shared" si="1"/>
        <v>0.57820512820512826</v>
      </c>
      <c r="G8" s="17">
        <f t="shared" si="1"/>
        <v>0.57820512820512815</v>
      </c>
      <c r="H8" s="17">
        <f t="shared" si="1"/>
        <v>0.57820512820512815</v>
      </c>
      <c r="I8" s="17">
        <f t="shared" si="1"/>
        <v>0.57820512820512815</v>
      </c>
    </row>
    <row r="9" spans="2:9">
      <c r="B9" s="30"/>
    </row>
    <row r="10" spans="2:9">
      <c r="B10" s="37" t="s">
        <v>10</v>
      </c>
      <c r="C10" s="6">
        <f>C6-C7</f>
        <v>22550</v>
      </c>
      <c r="D10" s="6">
        <f t="shared" ref="D10:I10" si="2">D6-D7</f>
        <v>22572.55</v>
      </c>
      <c r="E10" s="6">
        <f t="shared" si="2"/>
        <v>22595.1</v>
      </c>
      <c r="F10" s="6">
        <f t="shared" si="2"/>
        <v>22617.65</v>
      </c>
      <c r="G10" s="6">
        <f t="shared" si="2"/>
        <v>22640.2</v>
      </c>
      <c r="H10" s="6">
        <f t="shared" si="2"/>
        <v>22662.75</v>
      </c>
      <c r="I10" s="6">
        <f t="shared" si="2"/>
        <v>22685.3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15208.333333333334</v>
      </c>
      <c r="D13" s="6">
        <f t="shared" ref="D13:I13" si="3">$H$41/12</f>
        <v>15208.333333333334</v>
      </c>
      <c r="E13" s="6">
        <f t="shared" si="3"/>
        <v>15208.333333333334</v>
      </c>
      <c r="F13" s="6">
        <f t="shared" si="3"/>
        <v>15208.333333333334</v>
      </c>
      <c r="G13" s="6">
        <f t="shared" si="3"/>
        <v>15208.333333333334</v>
      </c>
      <c r="H13" s="6">
        <f t="shared" si="3"/>
        <v>15208.333333333334</v>
      </c>
      <c r="I13" s="6">
        <f t="shared" si="3"/>
        <v>15208.333333333334</v>
      </c>
    </row>
    <row r="14" spans="2:9">
      <c r="B14" s="33" t="str">
        <f>'Profit and Loss Statement'!D14</f>
        <v>Facility Costs</v>
      </c>
      <c r="C14" s="6">
        <f>$H$42/12</f>
        <v>2000</v>
      </c>
      <c r="D14" s="6">
        <f t="shared" ref="D14:I14" si="4">$H$42/12</f>
        <v>2000</v>
      </c>
      <c r="E14" s="6">
        <f t="shared" si="4"/>
        <v>2000</v>
      </c>
      <c r="F14" s="6">
        <f t="shared" si="4"/>
        <v>2000</v>
      </c>
      <c r="G14" s="6">
        <f t="shared" si="4"/>
        <v>2000</v>
      </c>
      <c r="H14" s="6">
        <f t="shared" si="4"/>
        <v>2000</v>
      </c>
      <c r="I14" s="6">
        <f t="shared" si="4"/>
        <v>2000</v>
      </c>
    </row>
    <row r="15" spans="2:9">
      <c r="B15" s="33" t="str">
        <f>'Profit and Loss Statement'!D15</f>
        <v>General and Administrative</v>
      </c>
      <c r="C15" s="6">
        <f>$H$43/12</f>
        <v>615.66764999999998</v>
      </c>
      <c r="D15" s="6">
        <f t="shared" ref="D15:I15" si="5">$H$43/12</f>
        <v>615.66764999999998</v>
      </c>
      <c r="E15" s="6">
        <f t="shared" si="5"/>
        <v>615.66764999999998</v>
      </c>
      <c r="F15" s="6">
        <f t="shared" si="5"/>
        <v>615.66764999999998</v>
      </c>
      <c r="G15" s="6">
        <f t="shared" si="5"/>
        <v>615.66764999999998</v>
      </c>
      <c r="H15" s="6">
        <f t="shared" si="5"/>
        <v>615.66764999999998</v>
      </c>
      <c r="I15" s="6">
        <f t="shared" si="5"/>
        <v>615.66764999999998</v>
      </c>
    </row>
    <row r="16" spans="2:9">
      <c r="B16" s="33" t="str">
        <f>'Profit and Loss Statement'!D16</f>
        <v>Equipment Costs</v>
      </c>
      <c r="C16" s="6">
        <f>$H$44/12</f>
        <v>596.06039999999996</v>
      </c>
      <c r="D16" s="6">
        <f t="shared" ref="D16:I16" si="6">$H$44/12</f>
        <v>596.06039999999996</v>
      </c>
      <c r="E16" s="6">
        <f t="shared" si="6"/>
        <v>596.06039999999996</v>
      </c>
      <c r="F16" s="6">
        <f t="shared" si="6"/>
        <v>596.06039999999996</v>
      </c>
      <c r="G16" s="6">
        <f t="shared" si="6"/>
        <v>596.06039999999996</v>
      </c>
      <c r="H16" s="6">
        <f t="shared" si="6"/>
        <v>596.06039999999996</v>
      </c>
      <c r="I16" s="6">
        <f t="shared" si="6"/>
        <v>596.06039999999996</v>
      </c>
    </row>
    <row r="17" spans="2:9">
      <c r="B17" s="33" t="str">
        <f>'Profit and Loss Statement'!D17</f>
        <v>Insurance Costs</v>
      </c>
      <c r="C17" s="6">
        <f>$H$45/12</f>
        <v>456.25</v>
      </c>
      <c r="D17" s="6">
        <f t="shared" ref="D17:I17" si="7">$H$45/12</f>
        <v>456.25</v>
      </c>
      <c r="E17" s="6">
        <f t="shared" si="7"/>
        <v>456.25</v>
      </c>
      <c r="F17" s="6">
        <f t="shared" si="7"/>
        <v>456.25</v>
      </c>
      <c r="G17" s="6">
        <f t="shared" si="7"/>
        <v>456.25</v>
      </c>
      <c r="H17" s="6">
        <f t="shared" si="7"/>
        <v>456.25</v>
      </c>
      <c r="I17" s="6">
        <f t="shared" si="7"/>
        <v>456.25</v>
      </c>
    </row>
    <row r="18" spans="2:9">
      <c r="B18" s="33" t="str">
        <f>'Profit and Loss Statement'!D18</f>
        <v>Marketing</v>
      </c>
      <c r="C18" s="6">
        <f>$H$46/12</f>
        <v>470.57400000000001</v>
      </c>
      <c r="D18" s="6">
        <f t="shared" ref="D18:I18" si="8">$H$46/12</f>
        <v>470.57400000000001</v>
      </c>
      <c r="E18" s="6">
        <f t="shared" si="8"/>
        <v>470.57400000000001</v>
      </c>
      <c r="F18" s="6">
        <f t="shared" si="8"/>
        <v>470.57400000000001</v>
      </c>
      <c r="G18" s="6">
        <f t="shared" si="8"/>
        <v>470.57400000000001</v>
      </c>
      <c r="H18" s="6">
        <f t="shared" si="8"/>
        <v>470.57400000000001</v>
      </c>
      <c r="I18" s="6">
        <f t="shared" si="8"/>
        <v>470.57400000000001</v>
      </c>
    </row>
    <row r="19" spans="2:9">
      <c r="B19" s="33" t="str">
        <f>'Profit and Loss Statement'!D19</f>
        <v>Professional Fees and Licensure</v>
      </c>
      <c r="C19" s="6">
        <f>$H$47/12</f>
        <v>209.91666666666666</v>
      </c>
      <c r="D19" s="6">
        <f t="shared" ref="D19:I19" si="9">$H$47/12</f>
        <v>209.91666666666666</v>
      </c>
      <c r="E19" s="6">
        <f t="shared" si="9"/>
        <v>209.91666666666666</v>
      </c>
      <c r="F19" s="6">
        <f t="shared" si="9"/>
        <v>209.91666666666666</v>
      </c>
      <c r="G19" s="6">
        <f t="shared" si="9"/>
        <v>209.91666666666666</v>
      </c>
      <c r="H19" s="6">
        <f t="shared" si="9"/>
        <v>209.91666666666666</v>
      </c>
      <c r="I19" s="6">
        <f t="shared" si="9"/>
        <v>209.91666666666666</v>
      </c>
    </row>
    <row r="20" spans="2:9">
      <c r="B20" s="29" t="s">
        <v>14</v>
      </c>
      <c r="C20" s="6">
        <f>$H$48/12</f>
        <v>1163.4375</v>
      </c>
      <c r="D20" s="6">
        <f t="shared" ref="D20:I20" si="10">$H$48/12</f>
        <v>1163.4375</v>
      </c>
      <c r="E20" s="6">
        <f t="shared" si="10"/>
        <v>1163.4375</v>
      </c>
      <c r="F20" s="6">
        <f t="shared" si="10"/>
        <v>1163.4375</v>
      </c>
      <c r="G20" s="6">
        <f t="shared" si="10"/>
        <v>1163.4375</v>
      </c>
      <c r="H20" s="6">
        <f t="shared" si="10"/>
        <v>1163.4375</v>
      </c>
      <c r="I20" s="6">
        <f t="shared" si="10"/>
        <v>1163.4375</v>
      </c>
    </row>
    <row r="21" spans="2:9">
      <c r="B21" s="28" t="s">
        <v>8</v>
      </c>
      <c r="C21" s="6">
        <f>SUM(C13:C20)</f>
        <v>20720.239550000002</v>
      </c>
      <c r="D21" s="6">
        <f t="shared" ref="D21:I21" si="11">SUM(D13:D20)</f>
        <v>20720.239550000002</v>
      </c>
      <c r="E21" s="6">
        <f t="shared" si="11"/>
        <v>20720.239550000002</v>
      </c>
      <c r="F21" s="6">
        <f t="shared" si="11"/>
        <v>20720.239550000002</v>
      </c>
      <c r="G21" s="6">
        <f t="shared" si="11"/>
        <v>20720.239550000002</v>
      </c>
      <c r="H21" s="6">
        <f t="shared" si="11"/>
        <v>20720.239550000002</v>
      </c>
      <c r="I21" s="6">
        <f t="shared" si="11"/>
        <v>20720.239550000002</v>
      </c>
    </row>
    <row r="22" spans="2:9">
      <c r="B22" s="30"/>
    </row>
    <row r="23" spans="2:9">
      <c r="B23" s="24" t="s">
        <v>47</v>
      </c>
      <c r="C23" s="25">
        <f>C10-C21</f>
        <v>1829.7604499999979</v>
      </c>
      <c r="D23" s="25">
        <f t="shared" ref="D23:I23" si="12">D10-D21</f>
        <v>1852.3104499999972</v>
      </c>
      <c r="E23" s="25">
        <f t="shared" si="12"/>
        <v>1874.8604499999965</v>
      </c>
      <c r="F23" s="25">
        <f t="shared" si="12"/>
        <v>1897.4104499999994</v>
      </c>
      <c r="G23" s="25">
        <f t="shared" si="12"/>
        <v>1919.9604499999987</v>
      </c>
      <c r="H23" s="25">
        <f t="shared" si="12"/>
        <v>1942.5104499999979</v>
      </c>
      <c r="I23" s="25">
        <f t="shared" si="12"/>
        <v>1965.0604499999972</v>
      </c>
    </row>
    <row r="24" spans="2:9">
      <c r="B24" s="29" t="s">
        <v>15</v>
      </c>
      <c r="C24" s="6">
        <f>(C6/$H$34)*$H$52</f>
        <v>55.31396059781553</v>
      </c>
      <c r="D24" s="6">
        <f t="shared" ref="D24:I24" si="13">(D6/$H$34)*$H$52</f>
        <v>55.369274558413345</v>
      </c>
      <c r="E24" s="6">
        <f t="shared" si="13"/>
        <v>55.424588519011159</v>
      </c>
      <c r="F24" s="6">
        <f t="shared" si="13"/>
        <v>55.479902479608974</v>
      </c>
      <c r="G24" s="6">
        <f t="shared" si="13"/>
        <v>55.535216440206796</v>
      </c>
      <c r="H24" s="6">
        <f t="shared" si="13"/>
        <v>55.590530400804603</v>
      </c>
      <c r="I24" s="6">
        <f t="shared" si="13"/>
        <v>55.645844361402425</v>
      </c>
    </row>
    <row r="25" spans="2:9">
      <c r="B25" s="29" t="s">
        <v>102</v>
      </c>
      <c r="C25" s="6">
        <f>(C6/$H$34)*$H$53</f>
        <v>11.062792119563106</v>
      </c>
      <c r="D25" s="6">
        <f t="shared" ref="D25:I25" si="14">(D6/$H$34)*$H$53</f>
        <v>11.073854911682668</v>
      </c>
      <c r="E25" s="6">
        <f t="shared" si="14"/>
        <v>11.084917703802233</v>
      </c>
      <c r="F25" s="6">
        <f t="shared" si="14"/>
        <v>11.095980495921795</v>
      </c>
      <c r="G25" s="6">
        <f t="shared" si="14"/>
        <v>11.107043288041359</v>
      </c>
      <c r="H25" s="6">
        <f t="shared" si="14"/>
        <v>11.118106080160921</v>
      </c>
      <c r="I25" s="6">
        <f t="shared" si="14"/>
        <v>11.129168872280486</v>
      </c>
    </row>
    <row r="26" spans="2:9">
      <c r="B26" s="29" t="s">
        <v>16</v>
      </c>
      <c r="C26" s="6">
        <f>'Loan Amortization Table'!D14</f>
        <v>962.5</v>
      </c>
      <c r="D26" s="6">
        <f>'Loan Amortization Table'!D15</f>
        <v>956.93914220854072</v>
      </c>
      <c r="E26" s="6">
        <f>'Loan Amortization Table'!D16</f>
        <v>951.34584607996464</v>
      </c>
      <c r="F26" s="6">
        <f>'Loan Amortization Table'!D17</f>
        <v>945.71992239063854</v>
      </c>
      <c r="G26" s="6">
        <f>'Loan Amortization Table'!D18</f>
        <v>940.06118081312468</v>
      </c>
      <c r="H26" s="6">
        <f>'Loan Amortization Table'!D19</f>
        <v>934.36942990974194</v>
      </c>
      <c r="I26" s="6">
        <f>'Loan Amortization Table'!D20</f>
        <v>928.64447712608944</v>
      </c>
    </row>
    <row r="27" spans="2:9">
      <c r="B27" s="29" t="s">
        <v>54</v>
      </c>
      <c r="C27" s="6">
        <f>$H$55/12</f>
        <v>800</v>
      </c>
      <c r="D27" s="6">
        <f t="shared" ref="D27:I27" si="15">$H$55/12</f>
        <v>800</v>
      </c>
      <c r="E27" s="6">
        <f t="shared" si="15"/>
        <v>800</v>
      </c>
      <c r="F27" s="6">
        <f t="shared" si="15"/>
        <v>800</v>
      </c>
      <c r="G27" s="6">
        <f t="shared" si="15"/>
        <v>800</v>
      </c>
      <c r="H27" s="6">
        <f t="shared" si="15"/>
        <v>800</v>
      </c>
      <c r="I27" s="6">
        <f t="shared" si="15"/>
        <v>800</v>
      </c>
    </row>
    <row r="28" spans="2:9">
      <c r="B28" s="38" t="s">
        <v>17</v>
      </c>
      <c r="C28" s="39">
        <f>C23-SUM(C24:C27)</f>
        <v>0.88369728261932323</v>
      </c>
      <c r="D28" s="39">
        <f t="shared" ref="D28:I28" si="16">D23-SUM(D24:D27)</f>
        <v>28.928178321360519</v>
      </c>
      <c r="E28" s="39">
        <f t="shared" si="16"/>
        <v>57.005097697218389</v>
      </c>
      <c r="F28" s="39">
        <f t="shared" si="16"/>
        <v>85.114644633830039</v>
      </c>
      <c r="G28" s="39">
        <f t="shared" si="16"/>
        <v>113.25700945862582</v>
      </c>
      <c r="H28" s="39">
        <f t="shared" si="16"/>
        <v>141.43238360929035</v>
      </c>
      <c r="I28" s="39">
        <f t="shared" si="16"/>
        <v>169.64095964022499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39273</v>
      </c>
      <c r="D34" s="6">
        <f>Inputs!K42</f>
        <v>39312</v>
      </c>
      <c r="E34" s="6">
        <f>Inputs!L42</f>
        <v>39351</v>
      </c>
      <c r="F34" s="6">
        <f>Inputs!M42</f>
        <v>39390</v>
      </c>
      <c r="G34" s="6">
        <f>Inputs!N42</f>
        <v>39429</v>
      </c>
      <c r="H34" s="6">
        <f>'Profit and Loss Statement'!E6</f>
        <v>470574</v>
      </c>
    </row>
    <row r="35" spans="2:8">
      <c r="B35" s="31" t="s">
        <v>52</v>
      </c>
      <c r="C35" s="6">
        <f>Inputs!J61</f>
        <v>16565.150000000001</v>
      </c>
      <c r="D35" s="6">
        <f>Inputs!K61</f>
        <v>16581.599999999999</v>
      </c>
      <c r="E35" s="6">
        <f>Inputs!L61</f>
        <v>16598.05</v>
      </c>
      <c r="F35" s="6">
        <f>Inputs!M61</f>
        <v>16614.5</v>
      </c>
      <c r="G35" s="6">
        <f>Inputs!N61</f>
        <v>16630.95</v>
      </c>
      <c r="H35" s="6">
        <f>'Profit and Loss Statement'!E7</f>
        <v>198485.7</v>
      </c>
    </row>
    <row r="36" spans="2:8">
      <c r="B36" s="29" t="s">
        <v>12</v>
      </c>
      <c r="C36" s="17">
        <f>1-(C35/C34)</f>
        <v>0.57820512820512815</v>
      </c>
      <c r="D36" s="17">
        <f t="shared" ref="D36:H36" si="18">1-(D35/D34)</f>
        <v>0.57820512820512826</v>
      </c>
      <c r="E36" s="17">
        <f t="shared" si="18"/>
        <v>0.57820512820512815</v>
      </c>
      <c r="F36" s="17">
        <f t="shared" si="18"/>
        <v>0.57820512820512815</v>
      </c>
      <c r="G36" s="17">
        <f t="shared" si="18"/>
        <v>0.57820512820512815</v>
      </c>
      <c r="H36" s="17">
        <f t="shared" si="18"/>
        <v>0.57820512820512815</v>
      </c>
    </row>
    <row r="37" spans="2:8">
      <c r="B37" s="30"/>
    </row>
    <row r="38" spans="2:8">
      <c r="B38" s="37" t="s">
        <v>10</v>
      </c>
      <c r="C38" s="6">
        <f>C34-C35</f>
        <v>22707.85</v>
      </c>
      <c r="D38" s="6">
        <f t="shared" ref="D38:H38" si="19">D34-D35</f>
        <v>22730.400000000001</v>
      </c>
      <c r="E38" s="6">
        <f t="shared" si="19"/>
        <v>22752.95</v>
      </c>
      <c r="F38" s="6">
        <f t="shared" si="19"/>
        <v>22775.5</v>
      </c>
      <c r="G38" s="6">
        <f t="shared" si="19"/>
        <v>22798.05</v>
      </c>
      <c r="H38" s="6">
        <f t="shared" si="19"/>
        <v>272088.3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15208.333333333334</v>
      </c>
      <c r="D41" s="6">
        <f t="shared" ref="D41:G41" si="20">$H$41/12</f>
        <v>15208.333333333334</v>
      </c>
      <c r="E41" s="6">
        <f t="shared" si="20"/>
        <v>15208.333333333334</v>
      </c>
      <c r="F41" s="6">
        <f t="shared" si="20"/>
        <v>15208.333333333334</v>
      </c>
      <c r="G41" s="6">
        <f t="shared" si="20"/>
        <v>15208.333333333334</v>
      </c>
      <c r="H41" s="6">
        <f>'Profit and Loss Statement'!E13</f>
        <v>182500</v>
      </c>
    </row>
    <row r="42" spans="2:8">
      <c r="B42" s="33" t="str">
        <f>B14</f>
        <v>Facility Costs</v>
      </c>
      <c r="C42" s="6">
        <f>$H$42/12</f>
        <v>2000</v>
      </c>
      <c r="D42" s="6">
        <f t="shared" ref="D42:G42" si="21">$H$42/12</f>
        <v>2000</v>
      </c>
      <c r="E42" s="6">
        <f t="shared" si="21"/>
        <v>2000</v>
      </c>
      <c r="F42" s="6">
        <f t="shared" si="21"/>
        <v>2000</v>
      </c>
      <c r="G42" s="6">
        <f t="shared" si="21"/>
        <v>2000</v>
      </c>
      <c r="H42" s="6">
        <f>'Profit and Loss Statement'!E14</f>
        <v>24000</v>
      </c>
    </row>
    <row r="43" spans="2:8">
      <c r="B43" s="33" t="str">
        <f t="shared" ref="B43:B47" si="22">B15</f>
        <v>General and Administrative</v>
      </c>
      <c r="C43" s="6">
        <f>$H$43/12</f>
        <v>615.66764999999998</v>
      </c>
      <c r="D43" s="6">
        <f t="shared" ref="D43:G43" si="23">$H$43/12</f>
        <v>615.66764999999998</v>
      </c>
      <c r="E43" s="6">
        <f t="shared" si="23"/>
        <v>615.66764999999998</v>
      </c>
      <c r="F43" s="6">
        <f t="shared" si="23"/>
        <v>615.66764999999998</v>
      </c>
      <c r="G43" s="6">
        <f t="shared" si="23"/>
        <v>615.66764999999998</v>
      </c>
      <c r="H43" s="6">
        <f>'Profit and Loss Statement'!E15</f>
        <v>7388.0117999999993</v>
      </c>
    </row>
    <row r="44" spans="2:8">
      <c r="B44" s="33" t="str">
        <f t="shared" si="22"/>
        <v>Equipment Costs</v>
      </c>
      <c r="C44" s="6">
        <f>$H$44/12</f>
        <v>596.06039999999996</v>
      </c>
      <c r="D44" s="6">
        <f t="shared" ref="D44:G44" si="24">$H$44/12</f>
        <v>596.06039999999996</v>
      </c>
      <c r="E44" s="6">
        <f t="shared" si="24"/>
        <v>596.06039999999996</v>
      </c>
      <c r="F44" s="6">
        <f t="shared" si="24"/>
        <v>596.06039999999996</v>
      </c>
      <c r="G44" s="6">
        <f t="shared" si="24"/>
        <v>596.06039999999996</v>
      </c>
      <c r="H44" s="6">
        <f>'Profit and Loss Statement'!E16</f>
        <v>7152.7248</v>
      </c>
    </row>
    <row r="45" spans="2:8">
      <c r="B45" s="33" t="str">
        <f t="shared" si="22"/>
        <v>Insurance Costs</v>
      </c>
      <c r="C45" s="6">
        <f>$H$45/12</f>
        <v>456.25</v>
      </c>
      <c r="D45" s="6">
        <f t="shared" ref="D45:G45" si="25">$H$45/12</f>
        <v>456.25</v>
      </c>
      <c r="E45" s="6">
        <f t="shared" si="25"/>
        <v>456.25</v>
      </c>
      <c r="F45" s="6">
        <f t="shared" si="25"/>
        <v>456.25</v>
      </c>
      <c r="G45" s="6">
        <f t="shared" si="25"/>
        <v>456.25</v>
      </c>
      <c r="H45" s="6">
        <f>'Profit and Loss Statement'!E17</f>
        <v>5475</v>
      </c>
    </row>
    <row r="46" spans="2:8">
      <c r="B46" s="33" t="str">
        <f t="shared" si="22"/>
        <v>Marketing</v>
      </c>
      <c r="C46" s="6">
        <f>$H$46/12</f>
        <v>470.57400000000001</v>
      </c>
      <c r="D46" s="6">
        <f t="shared" ref="D46:G46" si="26">$H$46/12</f>
        <v>470.57400000000001</v>
      </c>
      <c r="E46" s="6">
        <f t="shared" si="26"/>
        <v>470.57400000000001</v>
      </c>
      <c r="F46" s="6">
        <f t="shared" si="26"/>
        <v>470.57400000000001</v>
      </c>
      <c r="G46" s="6">
        <f t="shared" si="26"/>
        <v>470.57400000000001</v>
      </c>
      <c r="H46" s="6">
        <f>'Profit and Loss Statement'!E18</f>
        <v>5646.8879999999999</v>
      </c>
    </row>
    <row r="47" spans="2:8">
      <c r="B47" s="33" t="str">
        <f t="shared" si="22"/>
        <v>Professional Fees and Licensure</v>
      </c>
      <c r="C47" s="6">
        <f>$H$47/12</f>
        <v>209.91666666666666</v>
      </c>
      <c r="D47" s="6">
        <f t="shared" ref="D47:G47" si="27">$H$47/12</f>
        <v>209.91666666666666</v>
      </c>
      <c r="E47" s="6">
        <f t="shared" si="27"/>
        <v>209.91666666666666</v>
      </c>
      <c r="F47" s="6">
        <f t="shared" si="27"/>
        <v>209.91666666666666</v>
      </c>
      <c r="G47" s="6">
        <f t="shared" si="27"/>
        <v>209.91666666666666</v>
      </c>
      <c r="H47" s="6">
        <f>'Profit and Loss Statement'!E19</f>
        <v>2519</v>
      </c>
    </row>
    <row r="48" spans="2:8">
      <c r="B48" s="29" t="s">
        <v>14</v>
      </c>
      <c r="C48" s="6">
        <f>$H$48/12</f>
        <v>1163.4375</v>
      </c>
      <c r="D48" s="6">
        <f t="shared" ref="D48:G48" si="28">$H$48/12</f>
        <v>1163.4375</v>
      </c>
      <c r="E48" s="6">
        <f t="shared" si="28"/>
        <v>1163.4375</v>
      </c>
      <c r="F48" s="6">
        <f t="shared" si="28"/>
        <v>1163.4375</v>
      </c>
      <c r="G48" s="6">
        <f t="shared" si="28"/>
        <v>1163.4375</v>
      </c>
      <c r="H48" s="6">
        <f>'Profit and Loss Statement'!E20</f>
        <v>13961.25</v>
      </c>
    </row>
    <row r="49" spans="2:15">
      <c r="B49" s="28" t="s">
        <v>8</v>
      </c>
      <c r="C49" s="6">
        <f>SUM(C41:C48)</f>
        <v>20720.239550000002</v>
      </c>
      <c r="D49" s="6">
        <f t="shared" ref="D49:G49" si="29">SUM(D41:D48)</f>
        <v>20720.239550000002</v>
      </c>
      <c r="E49" s="6">
        <f t="shared" si="29"/>
        <v>20720.239550000002</v>
      </c>
      <c r="F49" s="6">
        <f t="shared" si="29"/>
        <v>20720.239550000002</v>
      </c>
      <c r="G49" s="6">
        <f t="shared" si="29"/>
        <v>20720.239550000002</v>
      </c>
      <c r="H49" s="6">
        <f>'Profit and Loss Statement'!E21</f>
        <v>248642.87460000001</v>
      </c>
    </row>
    <row r="50" spans="2:15">
      <c r="B50" s="30"/>
    </row>
    <row r="51" spans="2:15">
      <c r="B51" s="24" t="s">
        <v>47</v>
      </c>
      <c r="C51" s="25">
        <f>C38-C49</f>
        <v>1987.6104499999965</v>
      </c>
      <c r="D51" s="25">
        <f t="shared" ref="D51:H51" si="30">D38-D49</f>
        <v>2010.1604499999994</v>
      </c>
      <c r="E51" s="25">
        <f t="shared" si="30"/>
        <v>2032.7104499999987</v>
      </c>
      <c r="F51" s="25">
        <f t="shared" si="30"/>
        <v>2055.2604499999979</v>
      </c>
      <c r="G51" s="25">
        <f t="shared" si="30"/>
        <v>2077.8104499999972</v>
      </c>
      <c r="H51" s="25">
        <f t="shared" si="30"/>
        <v>23445.425399999978</v>
      </c>
    </row>
    <row r="52" spans="2:15">
      <c r="B52" s="29" t="s">
        <v>15</v>
      </c>
      <c r="C52" s="6">
        <f>(C34/$H$34)*$H$52</f>
        <v>55.701158322000239</v>
      </c>
      <c r="D52" s="6">
        <f t="shared" ref="D52:G52" si="31">(D34/$H$34)*$H$52</f>
        <v>55.756472282598047</v>
      </c>
      <c r="E52" s="6">
        <f t="shared" si="31"/>
        <v>55.811786243195868</v>
      </c>
      <c r="F52" s="6">
        <f t="shared" si="31"/>
        <v>55.867100203793683</v>
      </c>
      <c r="G52" s="6">
        <f t="shared" si="31"/>
        <v>55.922414164391505</v>
      </c>
      <c r="H52" s="6">
        <f>'Profit and Loss Statement'!E24</f>
        <v>667.41824857324218</v>
      </c>
    </row>
    <row r="53" spans="2:15">
      <c r="B53" s="29" t="s">
        <v>102</v>
      </c>
      <c r="C53" s="6">
        <f>(C34/$H$34)*$H$53</f>
        <v>11.140231664400048</v>
      </c>
      <c r="D53" s="6">
        <f t="shared" ref="D53:G53" si="32">(D34/$H$34)*$H$53</f>
        <v>11.15129445651961</v>
      </c>
      <c r="E53" s="6">
        <f t="shared" si="32"/>
        <v>11.162357248639173</v>
      </c>
      <c r="F53" s="6">
        <f t="shared" si="32"/>
        <v>11.173420040758737</v>
      </c>
      <c r="G53" s="6">
        <f t="shared" si="32"/>
        <v>11.184482832878301</v>
      </c>
      <c r="H53" s="6">
        <f>'Profit and Loss Statement'!E25</f>
        <v>133.48364971464844</v>
      </c>
    </row>
    <row r="54" spans="2:15">
      <c r="B54" s="29" t="s">
        <v>16</v>
      </c>
      <c r="C54" s="6">
        <f>'Loan Amortization Table'!D21</f>
        <v>922.8861287845325</v>
      </c>
      <c r="D54" s="6">
        <f>'Loan Amortization Table'!D22</f>
        <v>917.09419007764961</v>
      </c>
      <c r="E54" s="6">
        <f>'Loan Amortization Table'!D23</f>
        <v>911.26846506164338</v>
      </c>
      <c r="F54" s="6">
        <f>'Loan Amortization Table'!D24</f>
        <v>905.40875664971031</v>
      </c>
      <c r="G54" s="6">
        <f>'Loan Amortization Table'!D25</f>
        <v>899.51486660537432</v>
      </c>
      <c r="H54" s="6">
        <f>'Profit and Loss Statement'!E26</f>
        <v>11175.75240570701</v>
      </c>
    </row>
    <row r="55" spans="2:15">
      <c r="B55" s="29" t="s">
        <v>54</v>
      </c>
      <c r="C55" s="6">
        <f>$H$55/12</f>
        <v>800</v>
      </c>
      <c r="D55" s="6">
        <f t="shared" ref="D55:G55" si="33">$H$55/12</f>
        <v>800</v>
      </c>
      <c r="E55" s="6">
        <f t="shared" si="33"/>
        <v>800</v>
      </c>
      <c r="F55" s="6">
        <f t="shared" si="33"/>
        <v>800</v>
      </c>
      <c r="G55" s="6">
        <f t="shared" si="33"/>
        <v>800</v>
      </c>
      <c r="H55" s="6">
        <f>'Profit and Loss Statement'!E27</f>
        <v>9600</v>
      </c>
    </row>
    <row r="56" spans="2:15">
      <c r="B56" s="38" t="s">
        <v>17</v>
      </c>
      <c r="C56" s="39">
        <f>C51-SUM(C52:C55)</f>
        <v>197.88293122906362</v>
      </c>
      <c r="D56" s="39">
        <f t="shared" ref="D56:G56" si="34">D51-SUM(D52:D55)</f>
        <v>226.15849318323217</v>
      </c>
      <c r="E56" s="39">
        <f t="shared" si="34"/>
        <v>254.4678414465202</v>
      </c>
      <c r="F56" s="39">
        <f t="shared" si="34"/>
        <v>282.81117310573518</v>
      </c>
      <c r="G56" s="39">
        <f t="shared" si="34"/>
        <v>311.18868639735319</v>
      </c>
      <c r="H56" s="39">
        <f>'Profit and Loss Statement'!E28</f>
        <v>1868.771096005079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6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141172.20000000001</v>
      </c>
      <c r="D62" s="6">
        <f t="shared" ref="D62:F62" si="38">$G$62*M62</f>
        <v>141172.20000000001</v>
      </c>
      <c r="E62" s="6">
        <f t="shared" si="38"/>
        <v>141172.20000000001</v>
      </c>
      <c r="F62" s="6">
        <f t="shared" si="38"/>
        <v>141172.20000000001</v>
      </c>
      <c r="G62" s="6">
        <f>'Profit and Loss Statement'!F6</f>
        <v>564688.80000000005</v>
      </c>
      <c r="K62" s="4" t="s">
        <v>113</v>
      </c>
      <c r="L62" s="113">
        <v>0.25</v>
      </c>
      <c r="M62" s="113">
        <v>0.25</v>
      </c>
      <c r="N62" s="113">
        <v>0.25</v>
      </c>
      <c r="O62" s="113">
        <v>0.25</v>
      </c>
    </row>
    <row r="63" spans="2:15">
      <c r="B63" s="31" t="s">
        <v>52</v>
      </c>
      <c r="C63" s="6">
        <f>$G$63*L62</f>
        <v>59545.709999999992</v>
      </c>
      <c r="D63" s="6">
        <f t="shared" ref="D63:F63" si="39">$G$63*M62</f>
        <v>59545.709999999992</v>
      </c>
      <c r="E63" s="6">
        <f t="shared" si="39"/>
        <v>59545.709999999992</v>
      </c>
      <c r="F63" s="6">
        <f t="shared" si="39"/>
        <v>59545.709999999992</v>
      </c>
      <c r="G63" s="6">
        <f>'Profit and Loss Statement'!F7</f>
        <v>238182.83999999997</v>
      </c>
    </row>
    <row r="64" spans="2:15">
      <c r="B64" s="29" t="s">
        <v>12</v>
      </c>
      <c r="C64" s="17">
        <f>1-(C63/C62)</f>
        <v>0.57820512820512837</v>
      </c>
      <c r="D64" s="17">
        <f t="shared" ref="D64" si="40">1-(D63/D62)</f>
        <v>0.57820512820512837</v>
      </c>
      <c r="E64" s="17">
        <f t="shared" ref="E64" si="41">1-(E63/E62)</f>
        <v>0.57820512820512837</v>
      </c>
      <c r="F64" s="17">
        <f t="shared" ref="F64:G64" si="42">1-(F63/F62)</f>
        <v>0.57820512820512837</v>
      </c>
      <c r="G64" s="17">
        <f t="shared" si="42"/>
        <v>0.57820512820512837</v>
      </c>
    </row>
    <row r="65" spans="2:7">
      <c r="B65" s="30"/>
    </row>
    <row r="66" spans="2:7">
      <c r="B66" s="37" t="s">
        <v>10</v>
      </c>
      <c r="C66" s="6">
        <f>C62-C63</f>
        <v>81626.49000000002</v>
      </c>
      <c r="D66" s="6">
        <f t="shared" ref="D66:G66" si="43">D62-D63</f>
        <v>81626.49000000002</v>
      </c>
      <c r="E66" s="6">
        <f t="shared" si="43"/>
        <v>81626.49000000002</v>
      </c>
      <c r="F66" s="6">
        <f t="shared" si="43"/>
        <v>81626.49000000002</v>
      </c>
      <c r="G66" s="6">
        <f t="shared" si="43"/>
        <v>326505.96000000008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46993.75</v>
      </c>
      <c r="D69" s="6">
        <f t="shared" ref="D69:F69" si="44">$G$69/4</f>
        <v>46993.75</v>
      </c>
      <c r="E69" s="6">
        <f t="shared" si="44"/>
        <v>46993.75</v>
      </c>
      <c r="F69" s="6">
        <f t="shared" si="44"/>
        <v>46993.75</v>
      </c>
      <c r="G69" s="6">
        <f>'Profit and Loss Statement'!F13</f>
        <v>187975</v>
      </c>
    </row>
    <row r="70" spans="2:7">
      <c r="B70" s="33" t="str">
        <f>B42</f>
        <v>Facility Costs</v>
      </c>
      <c r="C70" s="6">
        <f>$G$70/4</f>
        <v>6180</v>
      </c>
      <c r="D70" s="6">
        <f t="shared" ref="D70:F70" si="45">$G$70/4</f>
        <v>6180</v>
      </c>
      <c r="E70" s="6">
        <f t="shared" si="45"/>
        <v>6180</v>
      </c>
      <c r="F70" s="6">
        <f t="shared" si="45"/>
        <v>6180</v>
      </c>
      <c r="G70" s="6">
        <f>'Profit and Loss Statement'!F14</f>
        <v>24720</v>
      </c>
    </row>
    <row r="71" spans="2:7">
      <c r="B71" s="33" t="str">
        <f t="shared" ref="B71:B75" si="46">B43</f>
        <v>General and Administrative</v>
      </c>
      <c r="C71" s="6">
        <f>$G$71/4</f>
        <v>2216.4035399999998</v>
      </c>
      <c r="D71" s="6">
        <f t="shared" ref="D71:F71" si="47">$G$71/4</f>
        <v>2216.4035399999998</v>
      </c>
      <c r="E71" s="6">
        <f t="shared" si="47"/>
        <v>2216.4035399999998</v>
      </c>
      <c r="F71" s="6">
        <f t="shared" si="47"/>
        <v>2216.4035399999998</v>
      </c>
      <c r="G71" s="6">
        <f>'Profit and Loss Statement'!F15</f>
        <v>8865.6141599999992</v>
      </c>
    </row>
    <row r="72" spans="2:7">
      <c r="B72" s="33" t="str">
        <f t="shared" si="46"/>
        <v>Equipment Costs</v>
      </c>
      <c r="C72" s="6">
        <f>$G$72/4</f>
        <v>2145.8174400000003</v>
      </c>
      <c r="D72" s="6">
        <f t="shared" ref="D72:F72" si="48">$G$72/4</f>
        <v>2145.8174400000003</v>
      </c>
      <c r="E72" s="6">
        <f t="shared" si="48"/>
        <v>2145.8174400000003</v>
      </c>
      <c r="F72" s="6">
        <f t="shared" si="48"/>
        <v>2145.8174400000003</v>
      </c>
      <c r="G72" s="6">
        <f>'Profit and Loss Statement'!F16</f>
        <v>8583.269760000001</v>
      </c>
    </row>
    <row r="73" spans="2:7">
      <c r="B73" s="33" t="str">
        <f t="shared" si="46"/>
        <v>Insurance Costs</v>
      </c>
      <c r="C73" s="6">
        <f>$G$73/4</f>
        <v>1409.8125</v>
      </c>
      <c r="D73" s="6">
        <f t="shared" ref="D73:F73" si="49">$G$73/4</f>
        <v>1409.8125</v>
      </c>
      <c r="E73" s="6">
        <f t="shared" si="49"/>
        <v>1409.8125</v>
      </c>
      <c r="F73" s="6">
        <f t="shared" si="49"/>
        <v>1409.8125</v>
      </c>
      <c r="G73" s="6">
        <f>'Profit and Loss Statement'!F17</f>
        <v>5639.25</v>
      </c>
    </row>
    <row r="74" spans="2:7">
      <c r="B74" s="33" t="str">
        <f t="shared" si="46"/>
        <v>Marketing</v>
      </c>
      <c r="C74" s="6">
        <f>$G$74/4</f>
        <v>1694.0664000000002</v>
      </c>
      <c r="D74" s="6">
        <f t="shared" ref="D74:F74" si="50">$G$74/4</f>
        <v>1694.0664000000002</v>
      </c>
      <c r="E74" s="6">
        <f t="shared" si="50"/>
        <v>1694.0664000000002</v>
      </c>
      <c r="F74" s="6">
        <f t="shared" si="50"/>
        <v>1694.0664000000002</v>
      </c>
      <c r="G74" s="6">
        <f>'Profit and Loss Statement'!F18</f>
        <v>6776.2656000000006</v>
      </c>
    </row>
    <row r="75" spans="2:7">
      <c r="B75" s="33" t="str">
        <f t="shared" si="46"/>
        <v>Professional Fees and Licensure</v>
      </c>
      <c r="C75" s="6">
        <f>$G$75/4</f>
        <v>850.16250000000002</v>
      </c>
      <c r="D75" s="6">
        <f t="shared" ref="D75:F75" si="51">$G$75/4</f>
        <v>850.16250000000002</v>
      </c>
      <c r="E75" s="6">
        <f t="shared" si="51"/>
        <v>850.16250000000002</v>
      </c>
      <c r="F75" s="6">
        <f t="shared" si="51"/>
        <v>850.16250000000002</v>
      </c>
      <c r="G75" s="6">
        <f>'Profit and Loss Statement'!F19</f>
        <v>3400.65</v>
      </c>
    </row>
    <row r="76" spans="2:7">
      <c r="B76" s="29" t="s">
        <v>14</v>
      </c>
      <c r="C76" s="6">
        <f>$G$76/4</f>
        <v>3595.0218749999999</v>
      </c>
      <c r="D76" s="6">
        <f t="shared" ref="D76:F76" si="52">$G$76/4</f>
        <v>3595.0218749999999</v>
      </c>
      <c r="E76" s="6">
        <f t="shared" si="52"/>
        <v>3595.0218749999999</v>
      </c>
      <c r="F76" s="6">
        <f t="shared" si="52"/>
        <v>3595.0218749999999</v>
      </c>
      <c r="G76" s="6">
        <f>'Profit and Loss Statement'!F20</f>
        <v>14380.0875</v>
      </c>
    </row>
    <row r="77" spans="2:7">
      <c r="B77" s="28" t="s">
        <v>8</v>
      </c>
      <c r="C77" s="6">
        <f>SUM(C69:C76)</f>
        <v>65085.034254999999</v>
      </c>
      <c r="D77" s="6">
        <f t="shared" ref="D77:F77" si="53">SUM(D69:D76)</f>
        <v>65085.034254999999</v>
      </c>
      <c r="E77" s="6">
        <f t="shared" si="53"/>
        <v>65085.034254999999</v>
      </c>
      <c r="F77" s="6">
        <f t="shared" si="53"/>
        <v>65085.034254999999</v>
      </c>
      <c r="G77" s="6">
        <f>SUM(G69:G76)</f>
        <v>260340.13701999999</v>
      </c>
    </row>
    <row r="78" spans="2:7">
      <c r="B78" s="30"/>
    </row>
    <row r="79" spans="2:7">
      <c r="B79" s="24" t="s">
        <v>47</v>
      </c>
      <c r="C79" s="25">
        <f>C66-C77</f>
        <v>16541.455745000021</v>
      </c>
      <c r="D79" s="25">
        <f t="shared" ref="D79:F79" si="54">D66-D77</f>
        <v>16541.455745000021</v>
      </c>
      <c r="E79" s="25">
        <f t="shared" si="54"/>
        <v>16541.455745000021</v>
      </c>
      <c r="F79" s="25">
        <f t="shared" si="54"/>
        <v>16541.455745000021</v>
      </c>
      <c r="G79" s="25">
        <f t="shared" ref="G79" si="55">G66-G77</f>
        <v>66165.822980000084</v>
      </c>
    </row>
    <row r="80" spans="2:7">
      <c r="B80" s="29" t="s">
        <v>15</v>
      </c>
      <c r="C80" s="6">
        <f>$G$80*L62</f>
        <v>2890.255363544713</v>
      </c>
      <c r="D80" s="6">
        <f t="shared" ref="D80:F80" si="56">$G$80*M62</f>
        <v>2890.255363544713</v>
      </c>
      <c r="E80" s="6">
        <f t="shared" si="56"/>
        <v>2890.255363544713</v>
      </c>
      <c r="F80" s="6">
        <f t="shared" si="56"/>
        <v>2890.255363544713</v>
      </c>
      <c r="G80" s="6">
        <f>'Profit and Loss Statement'!F24</f>
        <v>11561.021454178852</v>
      </c>
    </row>
    <row r="81" spans="2:15">
      <c r="B81" s="29" t="s">
        <v>102</v>
      </c>
      <c r="C81" s="6">
        <f>$G$81*L62</f>
        <v>578.05107270894257</v>
      </c>
      <c r="D81" s="6">
        <f t="shared" ref="D81:F81" si="57">$G$81*M62</f>
        <v>578.05107270894257</v>
      </c>
      <c r="E81" s="6">
        <f t="shared" si="57"/>
        <v>578.05107270894257</v>
      </c>
      <c r="F81" s="6">
        <f t="shared" si="57"/>
        <v>578.05107270894257</v>
      </c>
      <c r="G81" s="6">
        <f>'Profit and Loss Statement'!F25</f>
        <v>2312.2042908357703</v>
      </c>
    </row>
    <row r="82" spans="2:15">
      <c r="B82" s="29" t="s">
        <v>16</v>
      </c>
      <c r="C82" s="6">
        <f>SUM('Loan Amortization Table'!D26:D28)</f>
        <v>2662.8364453477075</v>
      </c>
      <c r="D82" s="6">
        <f>SUM('Loan Amortization Table'!D29:D31)</f>
        <v>2608.5416213139952</v>
      </c>
      <c r="E82" s="6">
        <f>SUM('Loan Amortization Table'!D32:D34)</f>
        <v>2553.291084485802</v>
      </c>
      <c r="F82" s="6">
        <f>SUM('Loan Amortization Table'!D35:D37)</f>
        <v>2497.0680121371715</v>
      </c>
      <c r="G82" s="6">
        <f>'Profit and Loss Statement'!F26</f>
        <v>10321.737163284677</v>
      </c>
    </row>
    <row r="83" spans="2:15">
      <c r="B83" s="29" t="s">
        <v>54</v>
      </c>
      <c r="C83" s="6">
        <f>$G$83/4</f>
        <v>2400</v>
      </c>
      <c r="D83" s="6">
        <f t="shared" ref="D83:F83" si="58">$G$83/4</f>
        <v>2400</v>
      </c>
      <c r="E83" s="6">
        <f t="shared" si="58"/>
        <v>2400</v>
      </c>
      <c r="F83" s="6">
        <f t="shared" si="58"/>
        <v>2400</v>
      </c>
      <c r="G83" s="6">
        <f>'Profit and Loss Statement'!F27</f>
        <v>9600</v>
      </c>
    </row>
    <row r="84" spans="2:15">
      <c r="B84" s="38" t="s">
        <v>17</v>
      </c>
      <c r="C84" s="39">
        <f>C79-SUM(C80:C83)</f>
        <v>8010.312863398658</v>
      </c>
      <c r="D84" s="39">
        <f t="shared" ref="D84:F84" si="59">D79-SUM(D80:D83)</f>
        <v>8064.6076874323699</v>
      </c>
      <c r="E84" s="39">
        <f t="shared" si="59"/>
        <v>8119.8582242605626</v>
      </c>
      <c r="F84" s="39">
        <f t="shared" si="59"/>
        <v>8176.0812966091944</v>
      </c>
      <c r="G84" s="39">
        <f>'Profit and Loss Statement'!F28</f>
        <v>32370.860071700787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6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162348.03</v>
      </c>
      <c r="D92" s="6">
        <f t="shared" ref="D92:F92" si="64">$G$92*M92</f>
        <v>162348.03</v>
      </c>
      <c r="E92" s="6">
        <f t="shared" si="64"/>
        <v>162348.03</v>
      </c>
      <c r="F92" s="6">
        <f t="shared" si="64"/>
        <v>162348.03</v>
      </c>
      <c r="G92" s="6">
        <f>'Profit and Loss Statement'!G6</f>
        <v>649392.12</v>
      </c>
      <c r="K92" s="4" t="s">
        <v>113</v>
      </c>
      <c r="L92" s="113">
        <v>0.25</v>
      </c>
      <c r="M92" s="113">
        <v>0.25</v>
      </c>
      <c r="N92" s="113">
        <v>0.25</v>
      </c>
      <c r="O92" s="113">
        <v>0.25</v>
      </c>
    </row>
    <row r="93" spans="2:15">
      <c r="B93" s="31" t="s">
        <v>52</v>
      </c>
      <c r="C93" s="6">
        <f>$G$93*L92</f>
        <v>68477.566500000001</v>
      </c>
      <c r="D93" s="6">
        <f t="shared" ref="D93:F93" si="65">$G$93*M92</f>
        <v>68477.566500000001</v>
      </c>
      <c r="E93" s="6">
        <f t="shared" si="65"/>
        <v>68477.566500000001</v>
      </c>
      <c r="F93" s="6">
        <f t="shared" si="65"/>
        <v>68477.566500000001</v>
      </c>
      <c r="G93" s="6">
        <f>'Profit and Loss Statement'!G7</f>
        <v>273910.266</v>
      </c>
    </row>
    <row r="94" spans="2:15">
      <c r="B94" s="29" t="s">
        <v>12</v>
      </c>
      <c r="C94" s="17">
        <f>1-(C93/C92)</f>
        <v>0.57820512820512815</v>
      </c>
      <c r="D94" s="17">
        <f t="shared" ref="D94:G94" si="66">1-(D93/D92)</f>
        <v>0.57820512820512815</v>
      </c>
      <c r="E94" s="17">
        <f t="shared" si="66"/>
        <v>0.57820512820512815</v>
      </c>
      <c r="F94" s="17">
        <f t="shared" si="66"/>
        <v>0.57820512820512815</v>
      </c>
      <c r="G94" s="17">
        <f t="shared" si="66"/>
        <v>0.57820512820512815</v>
      </c>
    </row>
    <row r="95" spans="2:15">
      <c r="B95" s="30"/>
    </row>
    <row r="96" spans="2:15">
      <c r="B96" s="37" t="s">
        <v>10</v>
      </c>
      <c r="C96" s="6">
        <f>C92-C93</f>
        <v>93870.463499999998</v>
      </c>
      <c r="D96" s="6">
        <f t="shared" ref="D96:G96" si="67">D92-D93</f>
        <v>93870.463499999998</v>
      </c>
      <c r="E96" s="6">
        <f t="shared" si="67"/>
        <v>93870.463499999998</v>
      </c>
      <c r="F96" s="6">
        <f t="shared" si="67"/>
        <v>93870.463499999998</v>
      </c>
      <c r="G96" s="6">
        <f t="shared" si="67"/>
        <v>375481.85399999999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48403.5625</v>
      </c>
      <c r="D99" s="6">
        <f>$G$99/4</f>
        <v>48403.5625</v>
      </c>
      <c r="E99" s="6">
        <f>$G$99/4</f>
        <v>48403.5625</v>
      </c>
      <c r="F99" s="6">
        <f>$G$99/4</f>
        <v>48403.5625</v>
      </c>
      <c r="G99" s="6">
        <f>'Profit and Loss Statement'!G13</f>
        <v>193614.25</v>
      </c>
    </row>
    <row r="100" spans="2:7">
      <c r="B100" s="33" t="str">
        <f>B70</f>
        <v>Facility Costs</v>
      </c>
      <c r="C100" s="6">
        <f>$G$100/4</f>
        <v>6365.4000000000005</v>
      </c>
      <c r="D100" s="6">
        <f t="shared" ref="D100:F100" si="68">$G$100/4</f>
        <v>6365.4000000000005</v>
      </c>
      <c r="E100" s="6">
        <f t="shared" si="68"/>
        <v>6365.4000000000005</v>
      </c>
      <c r="F100" s="6">
        <f t="shared" si="68"/>
        <v>6365.4000000000005</v>
      </c>
      <c r="G100" s="6">
        <f>'Profit and Loss Statement'!G14</f>
        <v>25461.600000000002</v>
      </c>
    </row>
    <row r="101" spans="2:7">
      <c r="B101" s="33" t="str">
        <f t="shared" ref="B101:B105" si="69">B71</f>
        <v>General and Administrative</v>
      </c>
      <c r="C101" s="6">
        <f>$G101/4</f>
        <v>2548.864071</v>
      </c>
      <c r="D101" s="6">
        <f t="shared" ref="D101:F101" si="70">$G101/4</f>
        <v>2548.864071</v>
      </c>
      <c r="E101" s="6">
        <f t="shared" si="70"/>
        <v>2548.864071</v>
      </c>
      <c r="F101" s="6">
        <f t="shared" si="70"/>
        <v>2548.864071</v>
      </c>
      <c r="G101" s="6">
        <f>'Profit and Loss Statement'!G15</f>
        <v>10195.456284</v>
      </c>
    </row>
    <row r="102" spans="2:7">
      <c r="B102" s="33" t="str">
        <f t="shared" si="69"/>
        <v>Equipment Costs</v>
      </c>
      <c r="C102" s="6">
        <f>$G$102/4</f>
        <v>2467.6900559999999</v>
      </c>
      <c r="D102" s="6">
        <f t="shared" ref="D102:F102" si="71">$G$102/4</f>
        <v>2467.6900559999999</v>
      </c>
      <c r="E102" s="6">
        <f t="shared" si="71"/>
        <v>2467.6900559999999</v>
      </c>
      <c r="F102" s="6">
        <f t="shared" si="71"/>
        <v>2467.6900559999999</v>
      </c>
      <c r="G102" s="6">
        <f>'Profit and Loss Statement'!G16</f>
        <v>9870.7602239999997</v>
      </c>
    </row>
    <row r="103" spans="2:7">
      <c r="B103" s="33" t="str">
        <f t="shared" si="69"/>
        <v>Insurance Costs</v>
      </c>
      <c r="C103" s="6">
        <f>$G$103/4</f>
        <v>1452.1068749999999</v>
      </c>
      <c r="D103" s="6">
        <f t="shared" ref="D103:F103" si="72">$G$103/4</f>
        <v>1452.1068749999999</v>
      </c>
      <c r="E103" s="6">
        <f t="shared" si="72"/>
        <v>1452.1068749999999</v>
      </c>
      <c r="F103" s="6">
        <f t="shared" si="72"/>
        <v>1452.1068749999999</v>
      </c>
      <c r="G103" s="6">
        <f>'Profit and Loss Statement'!G17</f>
        <v>5808.4274999999998</v>
      </c>
    </row>
    <row r="104" spans="2:7">
      <c r="B104" s="33" t="str">
        <f t="shared" si="69"/>
        <v>Marketing</v>
      </c>
      <c r="C104" s="6">
        <f>$G$104/4</f>
        <v>1948.1763599999999</v>
      </c>
      <c r="D104" s="6">
        <f t="shared" ref="D104:F104" si="73">$G$104/4</f>
        <v>1948.1763599999999</v>
      </c>
      <c r="E104" s="6">
        <f t="shared" si="73"/>
        <v>1948.1763599999999</v>
      </c>
      <c r="F104" s="6">
        <f t="shared" si="73"/>
        <v>1948.1763599999999</v>
      </c>
      <c r="G104" s="6">
        <f>'Profit and Loss Statement'!G18</f>
        <v>7792.7054399999997</v>
      </c>
    </row>
    <row r="105" spans="2:7">
      <c r="B105" s="33" t="str">
        <f t="shared" si="69"/>
        <v>Professional Fees and Licensure</v>
      </c>
      <c r="C105" s="6">
        <f>$G$105/4</f>
        <v>1147.7193750000001</v>
      </c>
      <c r="D105" s="6">
        <f t="shared" ref="D105:F105" si="74">$G$105/4</f>
        <v>1147.7193750000001</v>
      </c>
      <c r="E105" s="6">
        <f t="shared" si="74"/>
        <v>1147.7193750000001</v>
      </c>
      <c r="F105" s="6">
        <f t="shared" si="74"/>
        <v>1147.7193750000001</v>
      </c>
      <c r="G105" s="6">
        <f>'Profit and Loss Statement'!G19</f>
        <v>4590.8775000000005</v>
      </c>
    </row>
    <row r="106" spans="2:7">
      <c r="B106" s="29" t="s">
        <v>14</v>
      </c>
      <c r="C106" s="6">
        <f>$G$106/4</f>
        <v>3702.8725312500001</v>
      </c>
      <c r="D106" s="6">
        <f t="shared" ref="D106:F106" si="75">$G$106/4</f>
        <v>3702.8725312500001</v>
      </c>
      <c r="E106" s="6">
        <f t="shared" si="75"/>
        <v>3702.8725312500001</v>
      </c>
      <c r="F106" s="6">
        <f t="shared" si="75"/>
        <v>3702.8725312500001</v>
      </c>
      <c r="G106" s="6">
        <f>'Profit and Loss Statement'!G20</f>
        <v>14811.490125</v>
      </c>
    </row>
    <row r="107" spans="2:7">
      <c r="B107" s="28" t="s">
        <v>8</v>
      </c>
      <c r="C107" s="6">
        <f>SUM(C99:C106)</f>
        <v>68036.391768249989</v>
      </c>
      <c r="D107" s="6">
        <f t="shared" ref="D107:F107" si="76">SUM(D99:D106)</f>
        <v>68036.391768249989</v>
      </c>
      <c r="E107" s="6">
        <f t="shared" si="76"/>
        <v>68036.391768249989</v>
      </c>
      <c r="F107" s="6">
        <f t="shared" si="76"/>
        <v>68036.391768249989</v>
      </c>
      <c r="G107" s="6">
        <f>SUM(G99:G106)</f>
        <v>272145.56707299995</v>
      </c>
    </row>
    <row r="108" spans="2:7">
      <c r="B108" s="30"/>
    </row>
    <row r="109" spans="2:7">
      <c r="B109" s="24" t="s">
        <v>47</v>
      </c>
      <c r="C109" s="25">
        <f>C96-C107</f>
        <v>25834.071731750009</v>
      </c>
      <c r="D109" s="25">
        <f t="shared" ref="D109:G109" si="77">D96-D107</f>
        <v>25834.071731750009</v>
      </c>
      <c r="E109" s="25">
        <f t="shared" si="77"/>
        <v>25834.071731750009</v>
      </c>
      <c r="F109" s="25">
        <f t="shared" si="77"/>
        <v>25834.071731750009</v>
      </c>
      <c r="G109" s="25">
        <f t="shared" si="77"/>
        <v>103336.28692700004</v>
      </c>
    </row>
    <row r="110" spans="2:7">
      <c r="B110" s="29" t="s">
        <v>15</v>
      </c>
      <c r="C110" s="6">
        <f>$G$110*L92</f>
        <v>5270.643864816554</v>
      </c>
      <c r="D110" s="6">
        <f t="shared" ref="D110:F110" si="78">$G$110*M92</f>
        <v>5270.643864816554</v>
      </c>
      <c r="E110" s="6">
        <f t="shared" si="78"/>
        <v>5270.643864816554</v>
      </c>
      <c r="F110" s="6">
        <f t="shared" si="78"/>
        <v>5270.643864816554</v>
      </c>
      <c r="G110" s="6">
        <f>'Profit and Loss Statement'!G24</f>
        <v>21082.575459266216</v>
      </c>
    </row>
    <row r="111" spans="2:7">
      <c r="B111" s="29" t="s">
        <v>102</v>
      </c>
      <c r="C111" s="6">
        <f>$G$111*L92</f>
        <v>1054.1287729633109</v>
      </c>
      <c r="D111" s="6">
        <f t="shared" ref="D111:F111" si="79">$G$111*M92</f>
        <v>1054.1287729633109</v>
      </c>
      <c r="E111" s="6">
        <f t="shared" si="79"/>
        <v>1054.1287729633109</v>
      </c>
      <c r="F111" s="6">
        <f t="shared" si="79"/>
        <v>1054.1287729633109</v>
      </c>
      <c r="G111" s="6">
        <f>'Profit and Loss Statement'!G25</f>
        <v>4216.5150918532436</v>
      </c>
    </row>
    <row r="112" spans="2:7">
      <c r="B112" s="29" t="s">
        <v>16</v>
      </c>
      <c r="C112" s="6">
        <f>SUM('Loan Amortization Table'!D38:D40)</f>
        <v>2439.8552854237851</v>
      </c>
      <c r="D112" s="6">
        <f>SUM('Loan Amortization Table'!D41:D43)</f>
        <v>2381.6354841705997</v>
      </c>
      <c r="E112" s="6">
        <f>SUM('Loan Amortization Table'!D44:D46)</f>
        <v>2322.3908815677455</v>
      </c>
      <c r="F112" s="6">
        <f>SUM('Loan Amortization Table'!D47:D49)</f>
        <v>2262.1034387730469</v>
      </c>
      <c r="G112" s="6">
        <f>'Profit and Loss Statement'!G26</f>
        <v>9405.9850899351768</v>
      </c>
    </row>
    <row r="113" spans="2:15">
      <c r="B113" s="29" t="s">
        <v>54</v>
      </c>
      <c r="C113" s="6">
        <f>$G$113/4</f>
        <v>2400</v>
      </c>
      <c r="D113" s="6">
        <f>$G$113/4</f>
        <v>2400</v>
      </c>
      <c r="E113" s="6">
        <f>$G$113/4</f>
        <v>2400</v>
      </c>
      <c r="F113" s="6">
        <f>$G$113/4</f>
        <v>2400</v>
      </c>
      <c r="G113" s="6">
        <f>'Profit and Loss Statement'!G27</f>
        <v>9600</v>
      </c>
    </row>
    <row r="114" spans="2:15">
      <c r="B114" s="38" t="s">
        <v>17</v>
      </c>
      <c r="C114" s="39">
        <f>C109-SUM(C110:C113)</f>
        <v>14669.443808546359</v>
      </c>
      <c r="D114" s="39">
        <f t="shared" ref="D114:F114" si="80">D109-SUM(D110:D113)</f>
        <v>14727.663609799545</v>
      </c>
      <c r="E114" s="39">
        <f t="shared" si="80"/>
        <v>14786.908212402399</v>
      </c>
      <c r="F114" s="39">
        <f t="shared" si="80"/>
        <v>14847.195655197098</v>
      </c>
      <c r="G114" s="39">
        <f>'Profit and Loss Statement'!G28</f>
        <v>59031.211285945406</v>
      </c>
    </row>
    <row r="117" spans="2:15">
      <c r="B117" s="118"/>
      <c r="K117" s="118"/>
    </row>
    <row r="118" spans="2:15">
      <c r="C118" s="126"/>
      <c r="D118" s="126"/>
      <c r="E118" s="126"/>
      <c r="F118" s="126"/>
      <c r="G118" s="126"/>
      <c r="L118" s="126"/>
      <c r="M118" s="126"/>
      <c r="N118" s="126"/>
      <c r="O118" s="126"/>
    </row>
    <row r="119" spans="2:15">
      <c r="B119" s="130"/>
      <c r="C119" s="1"/>
      <c r="D119" s="1"/>
      <c r="E119" s="1"/>
      <c r="F119" s="1"/>
      <c r="G119" s="1"/>
      <c r="L119" s="132"/>
      <c r="M119" s="132"/>
      <c r="N119" s="132"/>
      <c r="O119" s="132"/>
    </row>
    <row r="120" spans="2:15">
      <c r="C120" s="1"/>
      <c r="D120" s="1"/>
      <c r="E120" s="1"/>
      <c r="F120" s="1"/>
      <c r="G120" s="1"/>
    </row>
    <row r="121" spans="2:15">
      <c r="C121" s="131"/>
      <c r="D121" s="131"/>
      <c r="E121" s="131"/>
      <c r="F121" s="131"/>
      <c r="G121" s="131"/>
    </row>
    <row r="123" spans="2:15">
      <c r="B123" s="130"/>
      <c r="C123" s="1"/>
      <c r="D123" s="1"/>
      <c r="E123" s="1"/>
      <c r="F123" s="1"/>
      <c r="G123" s="1"/>
    </row>
    <row r="125" spans="2:15">
      <c r="I125" s="118"/>
      <c r="J125" s="118"/>
      <c r="K125" s="118"/>
    </row>
    <row r="126" spans="2:15">
      <c r="C126" s="1"/>
      <c r="D126" s="1"/>
      <c r="E126" s="1"/>
      <c r="F126" s="1"/>
      <c r="G126" s="1"/>
      <c r="I126" s="120">
        <f>SUM(C126:F126)</f>
        <v>0</v>
      </c>
      <c r="J126" s="120">
        <f>G126-I126</f>
        <v>0</v>
      </c>
      <c r="K126" s="118"/>
    </row>
    <row r="127" spans="2:15">
      <c r="C127" s="1"/>
      <c r="D127" s="1"/>
      <c r="E127" s="1"/>
      <c r="F127" s="1"/>
      <c r="G127" s="1"/>
      <c r="I127" s="120">
        <f t="shared" ref="I127:I133" si="81">SUM(C127:F127)</f>
        <v>0</v>
      </c>
      <c r="J127" s="120">
        <f t="shared" ref="J127:J133" si="82">G127-I127</f>
        <v>0</v>
      </c>
      <c r="K127" s="118"/>
    </row>
    <row r="128" spans="2:15">
      <c r="C128" s="1"/>
      <c r="D128" s="1"/>
      <c r="E128" s="1"/>
      <c r="F128" s="1"/>
      <c r="G128" s="1"/>
      <c r="I128" s="120">
        <f t="shared" si="81"/>
        <v>0</v>
      </c>
      <c r="J128" s="120">
        <f t="shared" si="82"/>
        <v>0</v>
      </c>
      <c r="K128" s="118"/>
    </row>
    <row r="129" spans="2:11">
      <c r="C129" s="1"/>
      <c r="D129" s="1"/>
      <c r="E129" s="1"/>
      <c r="F129" s="1"/>
      <c r="G129" s="1"/>
      <c r="I129" s="120">
        <f t="shared" si="81"/>
        <v>0</v>
      </c>
      <c r="J129" s="120">
        <f t="shared" si="82"/>
        <v>0</v>
      </c>
      <c r="K129" s="118"/>
    </row>
    <row r="130" spans="2:11">
      <c r="C130" s="1"/>
      <c r="D130" s="1"/>
      <c r="E130" s="1"/>
      <c r="F130" s="1"/>
      <c r="G130" s="1"/>
      <c r="I130" s="120">
        <f t="shared" si="81"/>
        <v>0</v>
      </c>
      <c r="J130" s="120">
        <f t="shared" si="82"/>
        <v>0</v>
      </c>
      <c r="K130" s="118"/>
    </row>
    <row r="131" spans="2:11">
      <c r="C131" s="1"/>
      <c r="D131" s="1"/>
      <c r="E131" s="1"/>
      <c r="F131" s="1"/>
      <c r="G131" s="1"/>
      <c r="I131" s="120">
        <f t="shared" si="81"/>
        <v>0</v>
      </c>
      <c r="J131" s="120">
        <f t="shared" si="82"/>
        <v>0</v>
      </c>
      <c r="K131" s="118"/>
    </row>
    <row r="132" spans="2:11">
      <c r="C132" s="1"/>
      <c r="D132" s="1"/>
      <c r="E132" s="1"/>
      <c r="F132" s="1"/>
      <c r="G132" s="1"/>
      <c r="I132" s="120">
        <f t="shared" si="81"/>
        <v>0</v>
      </c>
      <c r="J132" s="120">
        <f t="shared" si="82"/>
        <v>0</v>
      </c>
      <c r="K132" s="118"/>
    </row>
    <row r="133" spans="2:11">
      <c r="C133" s="1"/>
      <c r="D133" s="1"/>
      <c r="E133" s="1"/>
      <c r="F133" s="1"/>
      <c r="G133" s="1"/>
      <c r="I133" s="120">
        <f t="shared" si="81"/>
        <v>0</v>
      </c>
      <c r="J133" s="120">
        <f t="shared" si="82"/>
        <v>0</v>
      </c>
      <c r="K133" s="118"/>
    </row>
    <row r="134" spans="2:11">
      <c r="B134" s="130"/>
      <c r="C134" s="1"/>
      <c r="D134" s="1"/>
      <c r="E134" s="1"/>
      <c r="F134" s="1"/>
      <c r="G134" s="1"/>
      <c r="I134" s="120"/>
      <c r="J134" s="118"/>
      <c r="K134" s="118"/>
    </row>
    <row r="136" spans="2:11">
      <c r="B136" s="130"/>
      <c r="C136" s="129"/>
      <c r="D136" s="129"/>
      <c r="E136" s="129"/>
      <c r="F136" s="129"/>
      <c r="G136" s="129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30"/>
      <c r="C141" s="129"/>
      <c r="D141" s="129"/>
      <c r="E141" s="129"/>
      <c r="F141" s="129"/>
      <c r="G141" s="129"/>
    </row>
    <row r="144" spans="2:11">
      <c r="B144" s="118"/>
      <c r="K144" s="118"/>
    </row>
    <row r="145" spans="2:15">
      <c r="C145" s="126"/>
      <c r="D145" s="126"/>
      <c r="E145" s="126"/>
      <c r="F145" s="126"/>
      <c r="G145" s="126"/>
      <c r="L145" s="126"/>
      <c r="M145" s="126"/>
      <c r="N145" s="126"/>
      <c r="O145" s="126"/>
    </row>
    <row r="146" spans="2:15">
      <c r="B146" s="130"/>
      <c r="C146" s="1"/>
      <c r="D146" s="1"/>
      <c r="E146" s="1"/>
      <c r="F146" s="1"/>
      <c r="G146" s="1"/>
      <c r="L146" s="132"/>
      <c r="M146" s="132"/>
      <c r="N146" s="132"/>
      <c r="O146" s="132"/>
    </row>
    <row r="147" spans="2:15">
      <c r="C147" s="1"/>
      <c r="D147" s="1"/>
      <c r="E147" s="1"/>
      <c r="F147" s="1"/>
      <c r="G147" s="1"/>
    </row>
    <row r="148" spans="2:15">
      <c r="C148" s="131"/>
      <c r="D148" s="131"/>
      <c r="E148" s="131"/>
      <c r="F148" s="131"/>
      <c r="G148" s="131"/>
    </row>
    <row r="150" spans="2:15">
      <c r="B150" s="130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30"/>
      <c r="C161" s="1"/>
      <c r="D161" s="1"/>
      <c r="E161" s="1"/>
      <c r="F161" s="1"/>
      <c r="G161" s="1"/>
    </row>
    <row r="163" spans="2:7">
      <c r="B163" s="130"/>
      <c r="C163" s="129"/>
      <c r="D163" s="129"/>
      <c r="E163" s="129"/>
      <c r="F163" s="129"/>
      <c r="G163" s="129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30"/>
      <c r="C168" s="129"/>
      <c r="D168" s="129"/>
      <c r="E168" s="129"/>
      <c r="F168" s="129"/>
      <c r="G168" s="129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U11" sqref="U11"/>
    </sheetView>
  </sheetViews>
  <sheetFormatPr defaultRowHeight="15"/>
  <cols>
    <col min="3" max="3" width="27.5703125" customWidth="1"/>
    <col min="4" max="4" width="9" customWidth="1"/>
    <col min="5" max="5" width="9.5703125" customWidth="1"/>
    <col min="6" max="7" width="9.7109375" customWidth="1"/>
    <col min="8" max="8" width="9.5703125" customWidth="1"/>
    <col min="9" max="9" width="10" customWidth="1"/>
    <col min="10" max="10" width="9.42578125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800.88369728261932</v>
      </c>
      <c r="E6" s="13">
        <f>'Expanded Profit and Loss'!D28+'Expanded Profit and Loss'!D27</f>
        <v>828.92817832136052</v>
      </c>
      <c r="F6" s="13">
        <f>'Expanded Profit and Loss'!E28+'Expanded Profit and Loss'!E27</f>
        <v>857.00509769721839</v>
      </c>
      <c r="G6" s="13">
        <f>'Expanded Profit and Loss'!F28+'Expanded Profit and Loss'!F27</f>
        <v>885.11464463383004</v>
      </c>
      <c r="H6" s="13">
        <f>'Expanded Profit and Loss'!G28+'Expanded Profit and Loss'!G27</f>
        <v>913.25700945862582</v>
      </c>
      <c r="I6" s="13">
        <f>'Expanded Profit and Loss'!H28+'Expanded Profit and Loss'!H27</f>
        <v>941.43238360929035</v>
      </c>
      <c r="J6" s="13">
        <f>'Expanded Profit and Loss'!I28+'Expanded Profit and Loss'!I27</f>
        <v>969.64095964022499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35000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165000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449.16666666666669</v>
      </c>
      <c r="E11" s="13">
        <f t="shared" ref="E11:J11" si="1">$I$36/12</f>
        <v>449.16666666666669</v>
      </c>
      <c r="F11" s="13">
        <f t="shared" si="1"/>
        <v>449.16666666666669</v>
      </c>
      <c r="G11" s="13">
        <f t="shared" si="1"/>
        <v>449.16666666666669</v>
      </c>
      <c r="H11" s="13">
        <f t="shared" si="1"/>
        <v>449.16666666666669</v>
      </c>
      <c r="I11" s="13">
        <f t="shared" si="1"/>
        <v>449.16666666666669</v>
      </c>
      <c r="J11" s="13">
        <f t="shared" si="1"/>
        <v>449.16666666666669</v>
      </c>
    </row>
    <row r="12" spans="3:10">
      <c r="C12" s="37" t="s">
        <v>23</v>
      </c>
      <c r="D12" s="26">
        <f>SUM(D9:D11)</f>
        <v>200449.16666666666</v>
      </c>
      <c r="E12" s="26">
        <f t="shared" ref="E12:J12" si="2">SUM(E9:E11)</f>
        <v>449.16666666666669</v>
      </c>
      <c r="F12" s="26">
        <f t="shared" si="2"/>
        <v>449.16666666666669</v>
      </c>
      <c r="G12" s="26">
        <f t="shared" si="2"/>
        <v>449.16666666666669</v>
      </c>
      <c r="H12" s="26">
        <f t="shared" si="2"/>
        <v>449.16666666666669</v>
      </c>
      <c r="I12" s="26">
        <f t="shared" si="2"/>
        <v>449.16666666666669</v>
      </c>
      <c r="J12" s="26">
        <f t="shared" si="2"/>
        <v>449.16666666666669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201250.05036394927</v>
      </c>
      <c r="E15" s="27">
        <f t="shared" ref="E15:J15" si="3">E6+E12</f>
        <v>1278.0948449880273</v>
      </c>
      <c r="F15" s="27">
        <f t="shared" si="3"/>
        <v>1306.1717643638851</v>
      </c>
      <c r="G15" s="27">
        <f t="shared" si="3"/>
        <v>1334.2813113004968</v>
      </c>
      <c r="H15" s="27">
        <f t="shared" si="3"/>
        <v>1362.4236761252926</v>
      </c>
      <c r="I15" s="27">
        <f t="shared" si="3"/>
        <v>1390.5990502759571</v>
      </c>
      <c r="J15" s="27">
        <f t="shared" si="3"/>
        <v>1418.8076263068917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953.28990710729681</v>
      </c>
      <c r="E18" s="6">
        <f>'Loan Amortization Table'!C15</f>
        <v>958.8507648987561</v>
      </c>
      <c r="F18" s="6">
        <f>'Loan Amortization Table'!C16</f>
        <v>964.44406102733217</v>
      </c>
      <c r="G18" s="6">
        <f>'Loan Amortization Table'!C17</f>
        <v>970.06998471665827</v>
      </c>
      <c r="H18" s="6">
        <f>'Loan Amortization Table'!C18</f>
        <v>975.72872629417213</v>
      </c>
      <c r="I18" s="6">
        <f>'Loan Amortization Table'!C19</f>
        <v>981.42047719755487</v>
      </c>
      <c r="J18" s="6">
        <f>'Loan Amortization Table'!C20</f>
        <v>987.14542998120737</v>
      </c>
    </row>
    <row r="19" spans="3:10">
      <c r="C19" s="12" t="s">
        <v>25</v>
      </c>
      <c r="D19" s="13">
        <f>$I$44/12</f>
        <v>314.41666666666663</v>
      </c>
      <c r="E19" s="13">
        <f t="shared" ref="E19:J19" si="4">$I$44/12</f>
        <v>314.41666666666663</v>
      </c>
      <c r="F19" s="13">
        <f t="shared" si="4"/>
        <v>314.41666666666663</v>
      </c>
      <c r="G19" s="13">
        <f t="shared" si="4"/>
        <v>314.41666666666663</v>
      </c>
      <c r="H19" s="13">
        <f t="shared" si="4"/>
        <v>314.41666666666663</v>
      </c>
      <c r="I19" s="13">
        <f t="shared" si="4"/>
        <v>314.41666666666663</v>
      </c>
      <c r="J19" s="13">
        <f t="shared" si="4"/>
        <v>314.41666666666663</v>
      </c>
    </row>
    <row r="20" spans="3:10">
      <c r="C20" s="31" t="s">
        <v>33</v>
      </c>
      <c r="D20" s="6">
        <f>I45</f>
        <v>96000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97267.706573773961</v>
      </c>
      <c r="E22" s="26">
        <f t="shared" ref="E22:J22" si="5">SUM(E18:E21)</f>
        <v>1273.2674315654226</v>
      </c>
      <c r="F22" s="26">
        <f t="shared" si="5"/>
        <v>1278.8607276939988</v>
      </c>
      <c r="G22" s="26">
        <f t="shared" si="5"/>
        <v>1284.4866513833249</v>
      </c>
      <c r="H22" s="26">
        <f t="shared" si="5"/>
        <v>1290.1453929608388</v>
      </c>
      <c r="I22" s="26">
        <f t="shared" si="5"/>
        <v>1295.8371438642216</v>
      </c>
      <c r="J22" s="26">
        <f t="shared" si="5"/>
        <v>1301.5620966478741</v>
      </c>
    </row>
    <row r="23" spans="3:10">
      <c r="C23" s="30"/>
    </row>
    <row r="24" spans="3:10">
      <c r="C24" s="42" t="s">
        <v>27</v>
      </c>
      <c r="D24" s="25">
        <f>D15-D22</f>
        <v>103982.34379017531</v>
      </c>
      <c r="E24" s="25">
        <f t="shared" ref="E24:J24" si="6">E15-E22</f>
        <v>4.8274134226046499</v>
      </c>
      <c r="F24" s="25">
        <f t="shared" si="6"/>
        <v>27.311036669886334</v>
      </c>
      <c r="G24" s="25">
        <f t="shared" si="6"/>
        <v>49.794659917171884</v>
      </c>
      <c r="H24" s="25">
        <f t="shared" si="6"/>
        <v>72.278283164453796</v>
      </c>
      <c r="I24" s="25">
        <f t="shared" si="6"/>
        <v>94.761906411735481</v>
      </c>
      <c r="J24" s="25">
        <f t="shared" si="6"/>
        <v>117.24552965901762</v>
      </c>
    </row>
    <row r="25" spans="3:10">
      <c r="C25" s="42" t="s">
        <v>6</v>
      </c>
      <c r="D25" s="25">
        <f>D24</f>
        <v>103982.34379017531</v>
      </c>
      <c r="E25" s="25">
        <f>D25+E24</f>
        <v>103987.17120359791</v>
      </c>
      <c r="F25" s="25">
        <f t="shared" ref="F25:J25" si="7">E25+F24</f>
        <v>104014.4822402678</v>
      </c>
      <c r="G25" s="25">
        <f t="shared" si="7"/>
        <v>104064.27690018497</v>
      </c>
      <c r="H25" s="25">
        <f t="shared" si="7"/>
        <v>104136.55518334942</v>
      </c>
      <c r="I25" s="25">
        <f t="shared" si="7"/>
        <v>104231.31708976116</v>
      </c>
      <c r="J25" s="25">
        <f t="shared" si="7"/>
        <v>104348.56261942018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997.88293122906362</v>
      </c>
      <c r="E31" s="13">
        <f>'Expanded Profit and Loss'!D56+'Expanded Profit and Loss'!D55</f>
        <v>1026.1584931832322</v>
      </c>
      <c r="F31" s="13">
        <f>'Expanded Profit and Loss'!E56+'Expanded Profit and Loss'!E55</f>
        <v>1054.4678414465202</v>
      </c>
      <c r="G31" s="13">
        <f>'Expanded Profit and Loss'!F56+'Expanded Profit and Loss'!F55</f>
        <v>1082.8111731057352</v>
      </c>
      <c r="H31" s="13">
        <f>'Expanded Profit and Loss'!G56+'Expanded Profit and Loss'!G55</f>
        <v>1111.1886863973532</v>
      </c>
      <c r="I31" s="13">
        <f>'Cash Flow Analysis'!E6</f>
        <v>11468.771096005079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35000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165000</v>
      </c>
      <c r="J35" s="30"/>
    </row>
    <row r="36" spans="3:10">
      <c r="C36" s="12" t="s">
        <v>22</v>
      </c>
      <c r="D36" s="13">
        <f>$I$36/12</f>
        <v>449.16666666666669</v>
      </c>
      <c r="E36" s="13">
        <f t="shared" ref="E36:H36" si="11">$I$36/12</f>
        <v>449.16666666666669</v>
      </c>
      <c r="F36" s="13">
        <f t="shared" si="11"/>
        <v>449.16666666666669</v>
      </c>
      <c r="G36" s="13">
        <f t="shared" si="11"/>
        <v>449.16666666666669</v>
      </c>
      <c r="H36" s="13">
        <f t="shared" si="11"/>
        <v>449.16666666666669</v>
      </c>
      <c r="I36" s="20">
        <f>'Cash Flow Analysis'!E11</f>
        <v>5390</v>
      </c>
      <c r="J36" s="30"/>
    </row>
    <row r="37" spans="3:10">
      <c r="C37" s="37" t="s">
        <v>23</v>
      </c>
      <c r="D37" s="26">
        <f>SUM(D34:D36)</f>
        <v>449.16666666666669</v>
      </c>
      <c r="E37" s="26">
        <f t="shared" ref="E37:H37" si="12">SUM(E34:E36)</f>
        <v>449.16666666666669</v>
      </c>
      <c r="F37" s="26">
        <f t="shared" si="12"/>
        <v>449.16666666666669</v>
      </c>
      <c r="G37" s="26">
        <f t="shared" si="12"/>
        <v>449.16666666666669</v>
      </c>
      <c r="H37" s="26">
        <f t="shared" si="12"/>
        <v>449.16666666666669</v>
      </c>
      <c r="I37" s="44">
        <f>'Cash Flow Analysis'!E12</f>
        <v>205390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1447.0495978957304</v>
      </c>
      <c r="E40" s="27">
        <f t="shared" ref="E40:H40" si="13">E31+E37</f>
        <v>1475.3251598498989</v>
      </c>
      <c r="F40" s="27">
        <f t="shared" si="13"/>
        <v>1503.6345081131869</v>
      </c>
      <c r="G40" s="27">
        <f t="shared" si="13"/>
        <v>1531.9778397724019</v>
      </c>
      <c r="H40" s="27">
        <f t="shared" si="13"/>
        <v>1560.3553530640199</v>
      </c>
      <c r="I40" s="36">
        <f>'Cash Flow Analysis'!E15</f>
        <v>216858.77109600508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992.90377832276431</v>
      </c>
      <c r="E43" s="6">
        <f>'Loan Amortization Table'!C22</f>
        <v>998.6957170296472</v>
      </c>
      <c r="F43" s="6">
        <f>'Loan Amortization Table'!C23</f>
        <v>1004.5214420456534</v>
      </c>
      <c r="G43" s="6">
        <f>'Loan Amortization Table'!C24</f>
        <v>1010.3811504575865</v>
      </c>
      <c r="H43" s="6">
        <f>'Loan Amortization Table'!C25</f>
        <v>1016.2750405019225</v>
      </c>
      <c r="I43" s="6">
        <f>'Cash Flow Analysis'!E18</f>
        <v>11813.726479580551</v>
      </c>
      <c r="J43" s="30"/>
    </row>
    <row r="44" spans="3:10">
      <c r="C44" s="12" t="s">
        <v>25</v>
      </c>
      <c r="D44" s="13">
        <f>$I$44/12</f>
        <v>314.41666666666663</v>
      </c>
      <c r="E44" s="13">
        <f t="shared" ref="E44:H44" si="14">$I$44/12</f>
        <v>314.41666666666663</v>
      </c>
      <c r="F44" s="13">
        <f t="shared" si="14"/>
        <v>314.41666666666663</v>
      </c>
      <c r="G44" s="13">
        <f t="shared" si="14"/>
        <v>314.41666666666663</v>
      </c>
      <c r="H44" s="13">
        <f t="shared" si="14"/>
        <v>314.41666666666663</v>
      </c>
      <c r="I44" s="13">
        <f>'Cash Flow Analysis'!E19</f>
        <v>3772.9999999999995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96000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8028.1397672035546</v>
      </c>
      <c r="I46" s="13">
        <f>'Cash Flow Analysis'!E21</f>
        <v>8028.1397672035546</v>
      </c>
      <c r="J46" s="30"/>
    </row>
    <row r="47" spans="3:10">
      <c r="C47" s="37" t="s">
        <v>26</v>
      </c>
      <c r="D47" s="26">
        <f>SUM(D43:D46)</f>
        <v>1307.3204449894311</v>
      </c>
      <c r="E47" s="26">
        <f t="shared" ref="E47:H47" si="15">SUM(E43:E46)</f>
        <v>1313.1123836963138</v>
      </c>
      <c r="F47" s="26">
        <f t="shared" si="15"/>
        <v>1318.9381087123202</v>
      </c>
      <c r="G47" s="26">
        <f t="shared" si="15"/>
        <v>1324.797817124253</v>
      </c>
      <c r="H47" s="26">
        <f t="shared" si="15"/>
        <v>9358.8314743721439</v>
      </c>
      <c r="I47" s="26">
        <f>'Cash Flow Analysis'!E22</f>
        <v>119614.86624678411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139.7291529062993</v>
      </c>
      <c r="E49" s="25">
        <f t="shared" ref="E49:H49" si="16">E40-E47</f>
        <v>162.21277615358508</v>
      </c>
      <c r="F49" s="25">
        <f t="shared" si="16"/>
        <v>184.69639940086677</v>
      </c>
      <c r="G49" s="25">
        <f t="shared" si="16"/>
        <v>207.18002264814891</v>
      </c>
      <c r="H49" s="25">
        <f t="shared" si="16"/>
        <v>-7798.4761213081238</v>
      </c>
      <c r="I49" s="45">
        <f>'Cash Flow Analysis'!E24</f>
        <v>97243.904849220969</v>
      </c>
      <c r="J49" s="30"/>
    </row>
    <row r="50" spans="3:10">
      <c r="C50" s="42" t="s">
        <v>6</v>
      </c>
      <c r="D50" s="25">
        <f>J25+D49</f>
        <v>104488.29177232647</v>
      </c>
      <c r="E50" s="25">
        <f>D50+E49</f>
        <v>104650.50454848005</v>
      </c>
      <c r="F50" s="25">
        <f t="shared" ref="F50:H50" si="17">E50+F49</f>
        <v>104835.20094788092</v>
      </c>
      <c r="G50" s="25">
        <f t="shared" si="17"/>
        <v>105042.38097052906</v>
      </c>
      <c r="H50" s="25">
        <f t="shared" si="17"/>
        <v>97243.90484922094</v>
      </c>
      <c r="I50" s="45">
        <f>'Cash Flow Analysis'!E25</f>
        <v>97243.904849220969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10410.312863398658</v>
      </c>
      <c r="E58" s="48">
        <f>'Expanded Profit and Loss'!D84+'Expanded Profit and Loss'!D83</f>
        <v>10464.60768743237</v>
      </c>
      <c r="F58" s="48">
        <f>'Expanded Profit and Loss'!E84+'Expanded Profit and Loss'!E83</f>
        <v>10519.858224260563</v>
      </c>
      <c r="G58" s="48">
        <f>'Expanded Profit and Loss'!F84+'Expanded Profit and Loss'!F83</f>
        <v>10576.081296609194</v>
      </c>
      <c r="H58" s="46">
        <f>'Cash Flow Analysis'!F6</f>
        <v>41970.860071700787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1374.45</v>
      </c>
      <c r="E63" s="49">
        <f>$H$63/4</f>
        <v>1374.45</v>
      </c>
      <c r="F63" s="49">
        <f>$H$63/4</f>
        <v>1374.45</v>
      </c>
      <c r="G63" s="49">
        <f>$H$63/4</f>
        <v>1374.45</v>
      </c>
      <c r="H63" s="13">
        <f>'Cash Flow Analysis'!F11</f>
        <v>5497.8</v>
      </c>
    </row>
    <row r="64" spans="3:10">
      <c r="C64" s="37" t="s">
        <v>23</v>
      </c>
      <c r="D64" s="51">
        <f>SUM(D61:D63)</f>
        <v>1374.45</v>
      </c>
      <c r="E64" s="51">
        <f t="shared" ref="E64:G64" si="18">SUM(E61:E63)</f>
        <v>1374.45</v>
      </c>
      <c r="F64" s="51">
        <f t="shared" si="18"/>
        <v>1374.45</v>
      </c>
      <c r="G64" s="51">
        <f t="shared" si="18"/>
        <v>1374.45</v>
      </c>
      <c r="H64" s="32">
        <f>'Cash Flow Analysis'!F12</f>
        <v>5497.8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11784.762863398659</v>
      </c>
      <c r="E67" s="48">
        <f t="shared" ref="E67:G67" si="19">E58+E64</f>
        <v>11839.057687432371</v>
      </c>
      <c r="F67" s="48">
        <f t="shared" si="19"/>
        <v>11894.308224260563</v>
      </c>
      <c r="G67" s="48">
        <f t="shared" si="19"/>
        <v>11950.531296609195</v>
      </c>
      <c r="H67" s="27">
        <f>'Cash Flow Analysis'!F15</f>
        <v>47468.66007170079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3084.5332759741832</v>
      </c>
      <c r="E70" s="50">
        <f>SUM('Loan Amortization Table'!C29:C31)</f>
        <v>3138.828100007895</v>
      </c>
      <c r="F70" s="50">
        <f>SUM('Loan Amortization Table'!C32:C34)</f>
        <v>3194.0786368360887</v>
      </c>
      <c r="G70" s="50">
        <f>SUM('Loan Amortization Table'!C35:C37)</f>
        <v>3250.3017091847187</v>
      </c>
      <c r="H70" s="32">
        <f>'Cash Flow Analysis'!F18</f>
        <v>12667.741722002884</v>
      </c>
    </row>
    <row r="71" spans="3:8">
      <c r="C71" s="12" t="s">
        <v>25</v>
      </c>
      <c r="D71" s="49">
        <f>$H$71/4</f>
        <v>962.11500000000001</v>
      </c>
      <c r="E71" s="49">
        <f>$H$71/4</f>
        <v>962.11500000000001</v>
      </c>
      <c r="F71" s="49">
        <f>$H$71/4</f>
        <v>962.11500000000001</v>
      </c>
      <c r="G71" s="49">
        <f>$H$71/4</f>
        <v>962.11500000000001</v>
      </c>
      <c r="H71" s="13">
        <f>'Cash Flow Analysis'!F19</f>
        <v>3848.46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29379.602050190548</v>
      </c>
      <c r="H73" s="13">
        <f>'Cash Flow Analysis'!F21</f>
        <v>29379.602050190548</v>
      </c>
    </row>
    <row r="74" spans="3:8">
      <c r="C74" s="37" t="s">
        <v>26</v>
      </c>
      <c r="D74" s="51">
        <f>SUM(D70:D73)</f>
        <v>4046.648275974183</v>
      </c>
      <c r="E74" s="51">
        <f t="shared" ref="E74:G74" si="20">SUM(E70:E73)</f>
        <v>4100.9431000078948</v>
      </c>
      <c r="F74" s="51">
        <f t="shared" si="20"/>
        <v>4156.1936368360884</v>
      </c>
      <c r="G74" s="51">
        <f t="shared" si="20"/>
        <v>33592.018759375263</v>
      </c>
      <c r="H74" s="34">
        <f>'Cash Flow Analysis'!F22</f>
        <v>45895.803772193431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7738.1145874244758</v>
      </c>
      <c r="E76" s="52">
        <f t="shared" ref="E76:G76" si="21">E67-E74</f>
        <v>7738.1145874244758</v>
      </c>
      <c r="F76" s="52">
        <f t="shared" si="21"/>
        <v>7738.1145874244748</v>
      </c>
      <c r="G76" s="52">
        <f t="shared" si="21"/>
        <v>-21641.487462766068</v>
      </c>
      <c r="H76" s="40">
        <f>'Cash Flow Analysis'!F24</f>
        <v>1572.8562995073589</v>
      </c>
    </row>
    <row r="77" spans="3:8">
      <c r="C77" s="42" t="s">
        <v>6</v>
      </c>
      <c r="D77" s="52">
        <f>I50+D76</f>
        <v>104982.01943664544</v>
      </c>
      <c r="E77" s="52">
        <f>D77+E76</f>
        <v>112720.13402406991</v>
      </c>
      <c r="F77" s="52">
        <f t="shared" ref="F77:G77" si="22">E77+F76</f>
        <v>120458.24861149437</v>
      </c>
      <c r="G77" s="52">
        <f t="shared" si="22"/>
        <v>98816.761148728314</v>
      </c>
      <c r="H77" s="40">
        <f>'Cash Flow Analysis'!F25</f>
        <v>98816.761148728328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17069.443808546359</v>
      </c>
      <c r="E84" s="48">
        <f>'Expanded Profit and Loss'!D114+'Expanded Profit and Loss'!D113</f>
        <v>17127.663609799543</v>
      </c>
      <c r="F84" s="48">
        <f>'Expanded Profit and Loss'!E114+'Expanded Profit and Loss'!E113</f>
        <v>17186.908212402399</v>
      </c>
      <c r="G84" s="48">
        <f>'Expanded Profit and Loss'!F114+'Expanded Profit and Loss'!F113</f>
        <v>17247.195655197098</v>
      </c>
      <c r="H84" s="27">
        <f>'Cash Flow Analysis'!G6</f>
        <v>68631.211285945406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1401.9390000000001</v>
      </c>
      <c r="E89" s="49">
        <f>$H$89/4</f>
        <v>1401.9390000000001</v>
      </c>
      <c r="F89" s="49">
        <f>$H$89/4</f>
        <v>1401.9390000000001</v>
      </c>
      <c r="G89" s="49">
        <f>$H$89/4</f>
        <v>1401.9390000000001</v>
      </c>
      <c r="H89" s="13">
        <f>'Cash Flow Analysis'!G12</f>
        <v>5607.7560000000003</v>
      </c>
    </row>
    <row r="90" spans="3:8">
      <c r="C90" s="37" t="s">
        <v>23</v>
      </c>
      <c r="D90" s="51">
        <f>SUM(D87:D89)</f>
        <v>1401.9390000000001</v>
      </c>
      <c r="E90" s="51">
        <f t="shared" ref="E90:G90" si="23">SUM(E87:E89)</f>
        <v>1401.9390000000001</v>
      </c>
      <c r="F90" s="51">
        <f t="shared" si="23"/>
        <v>1401.9390000000001</v>
      </c>
      <c r="G90" s="51">
        <f t="shared" si="23"/>
        <v>1401.9390000000001</v>
      </c>
      <c r="H90" s="34">
        <f>'Cash Flow Analysis'!G12</f>
        <v>5607.7560000000003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18471.382808546357</v>
      </c>
      <c r="E93" s="48">
        <f t="shared" ref="E93:G93" si="24">E90+E84</f>
        <v>18529.602609799542</v>
      </c>
      <c r="F93" s="48">
        <f t="shared" si="24"/>
        <v>18588.847212402397</v>
      </c>
      <c r="G93" s="48">
        <f t="shared" si="24"/>
        <v>18649.134655197096</v>
      </c>
      <c r="H93" s="27">
        <f>'Cash Flow Analysis'!G15</f>
        <v>74238.9672859454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3307.5144358981051</v>
      </c>
      <c r="E96" s="50">
        <f>SUM('Loan Amortization Table'!C41:C43)</f>
        <v>3365.73423715129</v>
      </c>
      <c r="F96" s="50">
        <f>SUM('Loan Amortization Table'!C44:C46)</f>
        <v>3424.9788397541447</v>
      </c>
      <c r="G96" s="50">
        <f>SUM('Loan Amortization Table'!C47:C49)</f>
        <v>3485.2662825488437</v>
      </c>
      <c r="H96" s="32">
        <f>'Cash Flow Analysis'!G18</f>
        <v>13583.493795352388</v>
      </c>
    </row>
    <row r="97" spans="3:8">
      <c r="C97" s="12" t="s">
        <v>25</v>
      </c>
      <c r="D97" s="49">
        <f>$H$97/4</f>
        <v>981.35730000000001</v>
      </c>
      <c r="E97" s="49">
        <f t="shared" ref="E97:G97" si="25">$H$97/4</f>
        <v>981.35730000000001</v>
      </c>
      <c r="F97" s="49">
        <f t="shared" si="25"/>
        <v>981.35730000000001</v>
      </c>
      <c r="G97" s="49">
        <f t="shared" si="25"/>
        <v>981.35730000000001</v>
      </c>
      <c r="H97" s="13">
        <f>'Cash Flow Analysis'!G19</f>
        <v>3925.4292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48041.847900161782</v>
      </c>
      <c r="H99" s="13">
        <f>'Cash Flow Analysis'!G21</f>
        <v>48041.847900161782</v>
      </c>
    </row>
    <row r="100" spans="3:8">
      <c r="C100" s="37" t="s">
        <v>26</v>
      </c>
      <c r="D100" s="51">
        <f>SUM(D96:D99)</f>
        <v>4288.8717358981048</v>
      </c>
      <c r="E100" s="51">
        <f t="shared" ref="E100:G100" si="26">SUM(E96:E99)</f>
        <v>4347.0915371512901</v>
      </c>
      <c r="F100" s="51">
        <f t="shared" si="26"/>
        <v>4406.3361397541448</v>
      </c>
      <c r="G100" s="51">
        <f t="shared" si="26"/>
        <v>52508.471482710622</v>
      </c>
      <c r="H100" s="34">
        <f>'Cash Flow Analysis'!G22</f>
        <v>65550.770895514172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14182.511072648253</v>
      </c>
      <c r="E102" s="52">
        <f t="shared" ref="E102:G102" si="27">E93-E100</f>
        <v>14182.511072648253</v>
      </c>
      <c r="F102" s="52">
        <f t="shared" si="27"/>
        <v>14182.511072648253</v>
      </c>
      <c r="G102" s="52">
        <f t="shared" si="27"/>
        <v>-33859.336827513529</v>
      </c>
      <c r="H102" s="40">
        <f>'Cash Flow Analysis'!G24</f>
        <v>8688.1963904312288</v>
      </c>
    </row>
    <row r="103" spans="3:8">
      <c r="C103" s="42" t="s">
        <v>6</v>
      </c>
      <c r="D103" s="52">
        <f>G77+D102</f>
        <v>112999.27222137657</v>
      </c>
      <c r="E103" s="52">
        <f>D103+E102</f>
        <v>127181.78329402482</v>
      </c>
      <c r="F103" s="52">
        <f t="shared" ref="F103:G103" si="28">E103+F102</f>
        <v>141364.29436667307</v>
      </c>
      <c r="G103" s="52">
        <f t="shared" si="28"/>
        <v>107504.95753915954</v>
      </c>
      <c r="H103" s="40">
        <f>'Cash Flow Analysis'!G25</f>
        <v>107504.95753915956</v>
      </c>
    </row>
    <row r="106" spans="3:8">
      <c r="C106" s="118"/>
      <c r="D106" s="118"/>
      <c r="E106" s="118"/>
      <c r="F106" s="118"/>
      <c r="G106" s="118"/>
      <c r="H106" s="118"/>
    </row>
    <row r="107" spans="3:8">
      <c r="D107" s="126"/>
      <c r="E107" s="126"/>
      <c r="F107" s="126"/>
      <c r="G107" s="126"/>
      <c r="H107" s="126"/>
    </row>
    <row r="108" spans="3:8">
      <c r="C108" s="130"/>
      <c r="D108" s="129"/>
      <c r="E108" s="129"/>
      <c r="F108" s="129"/>
      <c r="G108" s="129"/>
      <c r="H108" s="129"/>
    </row>
    <row r="110" spans="3:8">
      <c r="C110" s="130"/>
      <c r="D110" s="130"/>
      <c r="E110" s="130"/>
      <c r="F110" s="130"/>
      <c r="G110" s="130"/>
      <c r="H110" s="130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30"/>
      <c r="D114" s="129"/>
      <c r="E114" s="129"/>
      <c r="F114" s="129"/>
      <c r="G114" s="129"/>
      <c r="H114" s="129"/>
    </row>
    <row r="117" spans="3:10">
      <c r="C117" s="130"/>
      <c r="D117" s="129"/>
      <c r="E117" s="129"/>
      <c r="F117" s="129"/>
      <c r="G117" s="129"/>
      <c r="H117" s="129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30"/>
      <c r="D124" s="129"/>
      <c r="E124" s="129"/>
      <c r="F124" s="129"/>
      <c r="G124" s="129"/>
      <c r="H124" s="129"/>
    </row>
    <row r="126" spans="3:10">
      <c r="C126" s="130"/>
      <c r="D126" s="129"/>
      <c r="E126" s="129"/>
      <c r="F126" s="129"/>
      <c r="G126" s="129"/>
      <c r="H126" s="129"/>
    </row>
    <row r="127" spans="3:10">
      <c r="C127" s="130"/>
      <c r="D127" s="129"/>
      <c r="E127" s="129"/>
      <c r="F127" s="129"/>
      <c r="G127" s="129"/>
      <c r="H127" s="129"/>
    </row>
    <row r="128" spans="3:10">
      <c r="J128" s="1"/>
    </row>
    <row r="130" spans="3:8">
      <c r="C130" s="118"/>
      <c r="D130" s="118"/>
      <c r="E130" s="118"/>
      <c r="F130" s="118"/>
      <c r="G130" s="118"/>
      <c r="H130" s="118"/>
    </row>
    <row r="131" spans="3:8">
      <c r="D131" s="126"/>
      <c r="E131" s="126"/>
      <c r="F131" s="126"/>
      <c r="G131" s="126"/>
      <c r="H131" s="126"/>
    </row>
    <row r="132" spans="3:8">
      <c r="C132" s="130"/>
      <c r="D132" s="129"/>
      <c r="E132" s="129"/>
      <c r="F132" s="129"/>
      <c r="G132" s="129"/>
      <c r="H132" s="129"/>
    </row>
    <row r="134" spans="3:8">
      <c r="C134" s="130"/>
      <c r="D134" s="130"/>
      <c r="E134" s="130"/>
      <c r="F134" s="130"/>
      <c r="G134" s="130"/>
      <c r="H134" s="130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30"/>
      <c r="D138" s="129"/>
      <c r="E138" s="129"/>
      <c r="F138" s="129"/>
      <c r="G138" s="129"/>
      <c r="H138" s="129"/>
    </row>
    <row r="141" spans="3:8">
      <c r="C141" s="130"/>
      <c r="D141" s="129"/>
      <c r="E141" s="129"/>
      <c r="F141" s="129"/>
      <c r="G141" s="129"/>
      <c r="H141" s="129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30"/>
      <c r="D148" s="129"/>
      <c r="E148" s="129"/>
      <c r="F148" s="129"/>
      <c r="G148" s="129"/>
      <c r="H148" s="129"/>
    </row>
    <row r="150" spans="3:8">
      <c r="C150" s="130"/>
      <c r="D150" s="129"/>
      <c r="E150" s="129"/>
      <c r="F150" s="129"/>
      <c r="G150" s="129"/>
      <c r="H150" s="129"/>
    </row>
    <row r="151" spans="3:8">
      <c r="C151" s="130"/>
      <c r="D151" s="129"/>
      <c r="E151" s="129"/>
      <c r="F151" s="129"/>
      <c r="G151" s="129"/>
      <c r="H151" s="12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2025-10-01T16:58:09Z</dcterms:modified>
</cp:coreProperties>
</file>