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Sports Agency\"/>
    </mc:Choice>
  </mc:AlternateContent>
  <xr:revisionPtr revIDLastSave="0" documentId="13_ncr:1_{80EEA174-F2EC-4123-83C2-12C2DBCDDE37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H8" i="14"/>
  <c r="G8" i="14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5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D33" i="23" l="1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<sst xmlns="http://schemas.openxmlformats.org/spreadsheetml/2006/main" count="325" uniqueCount="140">
  <si>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</si>
  <si>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</si>
  <si>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</si>
  <si>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</si>
  <si>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</si>
  <si>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</si>
  <si>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</si>
  <si>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</si>
  <si>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</si>
  <si>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</si>
  <si>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</si>
  <si>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</si>
  <si>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</si>
  <si>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</si>
  <si>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</si>
  <si>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</si>
  <si>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</si>
  <si>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</si>
  <si>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</si>
  <si>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</si>
  <si>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</si>
  <si>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</si>
  <si>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</si>
  <si>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</si>
  <si>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</si>
  <si>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</si>
  <si>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</si>
  <si>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</si>
  <si>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</si>
  <si>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</si>
  <si>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</si>
  <si>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</si>
  <si>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</si>
  <si>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</si>
  <si>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</si>
  <si>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</si>
  <si>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</si>
  <si>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</si>
  <si>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</si>
  <si>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</si>
  <si>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</si>
  <si>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</si>
  <si>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</si>
  <si>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</si>
  <si>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</si>
  <si>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</si>
  <si>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</si>
  <si>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</si>
  <si>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</si>
  <si>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</si>
  <si>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</si>
  <si>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</si>
  <si>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</si>
  <si>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</si>
  <si>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</si>
  <si>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</si>
  <si>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</si>
  <si>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</si>
  <si>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</si>
  <si>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</si>
  <si>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</si>
  <si>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</si>
  <si>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</si>
  <si>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</si>
  <si>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</si>
  <si>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</si>
  <si>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</si>
  <si>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</si>
  <si>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</si>
  <si>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</si>
  <si>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</si>
  <si>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</si>
  <si>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</si>
  <si>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</si>
  <si>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</si>
  <si>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</si>
  <si>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</si>
  <si>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</si>
  <si>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</si>
  <si>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</si>
  <si>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</si>
  <si>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</si>
  <si>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</si>
  <si>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</si>
  <si>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</si>
  <si>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</si>
  <si>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</si>
  <si>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</si>
  <si>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</si>
  <si>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</si>
  <si>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</si>
  <si>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</si>
  <si>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</si>
  <si>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</si>
  <si>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</si>
  <si>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</si>
  <si>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</si>
  <si>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</si>
  <si>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</si>
  <si>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</si>
  <si>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</si>
  <si>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</si>
  <si>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</si>
  <si>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</si>
  <si>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</si>
  <si>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</si>
  <si>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</si>
  <si>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</si>
  <si>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</si>
  <si>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</si>
  <si>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</si>
  <si>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</si>
  <si>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</si>
  <si>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</si>
  <si>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</si>
  <si>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</si>
  <si>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</si>
  <si>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</si>
  <si>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</si>
  <si>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</si>
  <si>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</si>
  <si>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</si>
  <si>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</si>
  <si>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</si>
  <si>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</si>
  <si>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</si>
  <si>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</si>
  <si>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Agency Fees</t>
  </si>
  <si>
    <t>Consulting Income</t>
  </si>
  <si>
    <t>Staff Agents</t>
  </si>
  <si>
    <t>Administrative Staff</t>
  </si>
  <si>
    <t>Accounting Staff</t>
  </si>
  <si>
    <t>Furniture, Fixtures, and Equipment</t>
  </si>
  <si>
    <t>Marketing Operations</t>
  </si>
  <si>
    <t>Six Months of Payroll</t>
  </si>
  <si>
    <t>Postion 7</t>
  </si>
  <si>
    <t>Postion 8</t>
  </si>
  <si>
    <t>Postion 9</t>
  </si>
  <si>
    <t>6021 Media Holdings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</si>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</sst>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229040.31241999997</c:v>
                </c:pt>
                <c:pt idx="1">
                  <c:v>374650.4709040001</c:v>
                </c:pt>
                <c:pt idx="2">
                  <c:v>500293.45081960002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160328.21869399998</c:v>
                </c:pt>
                <c:pt idx="1">
                  <c:v>262255.32963280007</c:v>
                </c:pt>
                <c:pt idx="2">
                  <c:v>350205.41557372001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229040.31241999997</c:v>
                </c:pt>
                <c:pt idx="1">
                  <c:v>374650.4709040001</c:v>
                </c:pt>
                <c:pt idx="2">
                  <c:v>500293.45081960002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536-42E9-AB74-BCA789179330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536-42E9-AB74-BCA78917933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160328.21869399998</c:v>
                </c:pt>
                <c:pt idx="1">
                  <c:v>262255.32963280007</c:v>
                </c:pt>
                <c:pt idx="2">
                  <c:v>350205.41557372001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259032.09372599999</c:v>
                </c:pt>
                <c:pt idx="1">
                  <c:v>361807.23499720002</c:v>
                </c:pt>
                <c:pt idx="2">
                  <c:v>502336.47024308005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0-4092-A24E-069E3D951D0C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3000</c:v>
                </c:pt>
                <c:pt idx="1">
                  <c:v>6060</c:v>
                </c:pt>
                <c:pt idx="2">
                  <c:v>9181.2000000000007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0-4092-A24E-069E3D951D0C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256032.09372599999</c:v>
                </c:pt>
                <c:pt idx="1">
                  <c:v>355747.23499720002</c:v>
                </c:pt>
                <c:pt idx="2">
                  <c:v>493155.27024308004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0-4092-A24E-069E3D95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4958784"/>
        <c:axId val="1421720720"/>
      </c:barChart>
      <c:catAx>
        <c:axId val="1564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720720"/>
        <c:crosses val="autoZero"/>
        <c:auto val="1"/>
        <c:lblAlgn val="ctr"/>
        <c:lblOffset val="100"/>
        <c:noMultiLvlLbl val="0"/>
      </c:catAx>
      <c:valAx>
        <c:axId val="1421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Agency Fees</c:v>
                </c:pt>
                <c:pt idx="1">
                  <c:v>Consulting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1929500.2125479456</c:v>
                </c:pt>
                <c:pt idx="1">
                  <c:v>2039885.4714958905</c:v>
                </c:pt>
                <c:pt idx="2">
                  <c:v>2154043.6092613698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1929500.2125479456</c:v>
                </c:pt>
                <c:pt idx="1">
                  <c:v>2039885.4714958905</c:v>
                </c:pt>
                <c:pt idx="2">
                  <c:v>2154043.6092613698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2546586</c:v>
                </c:pt>
                <c:pt idx="1">
                  <c:v>3055903.2</c:v>
                </c:pt>
                <c:pt idx="2">
                  <c:v>3514288.6799999997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1006096.5394</c:v>
                </c:pt>
                <c:pt idx="1">
                  <c:v>1063654.5672800001</c:v>
                </c:pt>
                <c:pt idx="2">
                  <c:v>1123179.8819719998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321766.16059999994</c:v>
                </c:pt>
                <c:pt idx="1">
                  <c:v>529780.67272000015</c:v>
                </c:pt>
                <c:pt idx="2">
                  <c:v>709270.64402800007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2546586</c:v>
                </c:pt>
                <c:pt idx="1">
                  <c:v>3055903.2</c:v>
                </c:pt>
                <c:pt idx="2">
                  <c:v>3514288.6799999997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9.2844510940986752E-2"/>
                  <c:y val="0.1264833921621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321766.16059999994</c:v>
                </c:pt>
                <c:pt idx="1">
                  <c:v>529780.67272000015</c:v>
                </c:pt>
                <c:pt idx="2">
                  <c:v>709270.64402800007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4040684234858858E-2"/>
                  <c:y val="-7.938953751470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1006096.5394</c:v>
                </c:pt>
                <c:pt idx="1">
                  <c:v>1063654.5672800001</c:v>
                </c:pt>
                <c:pt idx="2">
                  <c:v>1123179.8819719998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Agency Fees</c:v>
                </c:pt>
                <c:pt idx="1">
                  <c:v>Consulting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259032.09372599999</c:v>
                </c:pt>
                <c:pt idx="1">
                  <c:v>361807.23499720002</c:v>
                </c:pt>
                <c:pt idx="2">
                  <c:v>502336.47024308005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B-4DA2-AFA3-5F08FE5A9FD5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3000</c:v>
                </c:pt>
                <c:pt idx="1">
                  <c:v>6060</c:v>
                </c:pt>
                <c:pt idx="2">
                  <c:v>9181.2000000000007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B-4DA2-AFA3-5F08FE5A9FD5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256032.09372599999</c:v>
                </c:pt>
                <c:pt idx="1">
                  <c:v>355747.23499720002</c:v>
                </c:pt>
                <c:pt idx="2">
                  <c:v>493155.27024308004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B-4DA2-AFA3-5F08FE5A9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4958784"/>
        <c:axId val="1421720720"/>
      </c:barChart>
      <c:catAx>
        <c:axId val="1564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720720"/>
        <c:crosses val="autoZero"/>
        <c:auto val="1"/>
        <c:lblAlgn val="ctr"/>
        <c:lblOffset val="100"/>
        <c:noMultiLvlLbl val="0"/>
      </c:catAx>
      <c:valAx>
        <c:axId val="1421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Staff Agents</c:v>
                </c:pt>
                <c:pt idx="3">
                  <c:v>Administrative Staff</c:v>
                </c:pt>
                <c:pt idx="4">
                  <c:v>Accounting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0.1736111111111111</c:v>
                </c:pt>
                <c:pt idx="1">
                  <c:v>0.2361111111111111</c:v>
                </c:pt>
                <c:pt idx="2">
                  <c:v>0.3611111111111111</c:v>
                </c:pt>
                <c:pt idx="3">
                  <c:v>0</c:v>
                </c:pt>
                <c:pt idx="4">
                  <c:v>9.0277777777777776E-2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Furniture, Fixtures, and Equipment</c:v>
                </c:pt>
                <c:pt idx="1">
                  <c:v>Six Months of Payroll</c:v>
                </c:pt>
                <c:pt idx="2">
                  <c:v>Marketing Operations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25000</c:v>
                </c:pt>
                <c:pt idx="1">
                  <c:v>50000</c:v>
                </c:pt>
                <c:pt idx="2">
                  <c:v>85000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2546586</c:v>
                </c:pt>
                <c:pt idx="1">
                  <c:v>3055903.2</c:v>
                </c:pt>
                <c:pt idx="2">
                  <c:v>3514288.6799999997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1006096.5394</c:v>
                </c:pt>
                <c:pt idx="1">
                  <c:v>1063654.5672800001</c:v>
                </c:pt>
                <c:pt idx="2">
                  <c:v>1123179.8819719998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321766.16059999994</c:v>
                </c:pt>
                <c:pt idx="1">
                  <c:v>529780.67272000015</c:v>
                </c:pt>
                <c:pt idx="2">
                  <c:v>709270.64402800007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2546586</c:v>
                </c:pt>
                <c:pt idx="1">
                  <c:v>3055903.2</c:v>
                </c:pt>
                <c:pt idx="2">
                  <c:v>3514288.6799999997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5930957348278E-3"/>
                  <c:y val="-3.5123265429771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321766.16059999994</c:v>
                </c:pt>
                <c:pt idx="1">
                  <c:v>529780.67272000015</c:v>
                </c:pt>
                <c:pt idx="2">
                  <c:v>709270.64402800007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1006096.5394</c:v>
                </c:pt>
                <c:pt idx="1">
                  <c:v>1063654.5672800001</c:v>
                </c:pt>
                <c:pt idx="2">
                  <c:v>1123179.8819719998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229040.31241999997</c:v>
                </c:pt>
                <c:pt idx="1">
                  <c:v>374650.4709040001</c:v>
                </c:pt>
                <c:pt idx="2">
                  <c:v>500293.45081960002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160328.21869399998</c:v>
                </c:pt>
                <c:pt idx="1">
                  <c:v>262255.32963280007</c:v>
                </c:pt>
                <c:pt idx="2">
                  <c:v>350205.41557372001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229040.31241999997</c:v>
                </c:pt>
                <c:pt idx="1">
                  <c:v>374650.4709040001</c:v>
                </c:pt>
                <c:pt idx="2">
                  <c:v>500293.45081960002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0FF-4649-93DD-F0BFEDEF26D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0FF-4649-93DD-F0BFEDEF26D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160328.21869399998</c:v>
                </c:pt>
                <c:pt idx="1">
                  <c:v>262255.32963280007</c:v>
                </c:pt>
                <c:pt idx="2">
                  <c:v>350205.41557372001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259032.09372599999</c:v>
                </c:pt>
                <c:pt idx="1">
                  <c:v>3000</c:v>
                </c:pt>
                <c:pt idx="2">
                  <c:v>256032.09372599999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361807.23499720002</c:v>
                </c:pt>
                <c:pt idx="1">
                  <c:v>6060</c:v>
                </c:pt>
                <c:pt idx="2">
                  <c:v>355747.23499720002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502336.47024308005</c:v>
                </c:pt>
                <c:pt idx="1">
                  <c:v>9181.2000000000007</c:v>
                </c:pt>
                <c:pt idx="2">
                  <c:v>493155.27024308004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189303</xdr:rowOff>
    </xdr:from>
    <xdr:to>
      <xdr:col>21</xdr:col>
      <xdr:colOff>76200</xdr:colOff>
      <xdr:row>26</xdr:row>
      <xdr:rowOff>99015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EE5B852-BE72-72F2-0956-09ECC6376077}"/>
            </a:ext>
          </a:extLst>
        </xdr:cNvPr>
        <xdr:cNvSpPr/>
      </xdr:nvSpPr>
      <xdr:spPr>
        <a:xfrm>
          <a:off x="6200775" y="189303"/>
          <a:ext cx="10496550" cy="4862712"/>
        </a:xfrm>
        <a:prstGeom prst="rect">
          <a:avLst/>
        </a:prstGeom>
        <a:gradFill>
          <a:gsLst>
            <a:gs pos="0">
              <a:schemeClr val="bg1"/>
            </a:gs>
            <a:gs pos="92000">
              <a:schemeClr val="accent5">
                <a:lumMod val="40000"/>
                <a:lumOff val="60000"/>
              </a:schemeClr>
            </a:gs>
          </a:gsLst>
          <a:lin ang="1800000" scaled="0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5</xdr:col>
      <xdr:colOff>314325</xdr:colOff>
      <xdr:row>1</xdr:row>
      <xdr:rowOff>9525</xdr:rowOff>
    </xdr:from>
    <xdr:to>
      <xdr:col>21</xdr:col>
      <xdr:colOff>85725</xdr:colOff>
      <xdr:row>26</xdr:row>
      <xdr:rowOff>104775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4E60E3B-3427-9091-1C4C-0092D372E5B2}"/>
            </a:ext>
          </a:extLst>
        </xdr:cNvPr>
        <xdr:cNvSpPr/>
      </xdr:nvSpPr>
      <xdr:spPr>
        <a:xfrm>
          <a:off x="6210300" y="200025"/>
          <a:ext cx="10496550" cy="4857750"/>
        </a:xfrm>
        <a:custGeom>
          <a:avLst/>
          <a:gdLst>
            <a:gd name="connsiteX0" fmla="*/ 8164286 w 12192000"/>
            <a:gd name="connsiteY0" fmla="*/ 0 h 6851002"/>
            <a:gd name="connsiteX1" fmla="*/ 8285584 w 12192000"/>
            <a:gd name="connsiteY1" fmla="*/ 0 h 6851002"/>
            <a:gd name="connsiteX2" fmla="*/ 8285584 w 12192000"/>
            <a:gd name="connsiteY2" fmla="*/ 3331028 h 6851002"/>
            <a:gd name="connsiteX3" fmla="*/ 12192000 w 12192000"/>
            <a:gd name="connsiteY3" fmla="*/ 3331028 h 6851002"/>
            <a:gd name="connsiteX4" fmla="*/ 12192000 w 12192000"/>
            <a:gd name="connsiteY4" fmla="*/ 3429000 h 6851002"/>
            <a:gd name="connsiteX5" fmla="*/ 4142793 w 12192000"/>
            <a:gd name="connsiteY5" fmla="*/ 3429000 h 6851002"/>
            <a:gd name="connsiteX6" fmla="*/ 4142793 w 12192000"/>
            <a:gd name="connsiteY6" fmla="*/ 6851002 h 6851002"/>
            <a:gd name="connsiteX7" fmla="*/ 4021496 w 12192000"/>
            <a:gd name="connsiteY7" fmla="*/ 6851002 h 6851002"/>
            <a:gd name="connsiteX8" fmla="*/ 4021496 w 12192000"/>
            <a:gd name="connsiteY8" fmla="*/ 3429000 h 6851002"/>
            <a:gd name="connsiteX9" fmla="*/ 0 w 12192000"/>
            <a:gd name="connsiteY9" fmla="*/ 3429000 h 6851002"/>
            <a:gd name="connsiteX10" fmla="*/ 0 w 12192000"/>
            <a:gd name="connsiteY10" fmla="*/ 3331028 h 6851002"/>
            <a:gd name="connsiteX11" fmla="*/ 8164286 w 12192000"/>
            <a:gd name="connsiteY11" fmla="*/ 3331028 h 68510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2192000" h="6851002">
              <a:moveTo>
                <a:pt x="8164286" y="0"/>
              </a:moveTo>
              <a:lnTo>
                <a:pt x="8285584" y="0"/>
              </a:lnTo>
              <a:lnTo>
                <a:pt x="8285584" y="3331028"/>
              </a:lnTo>
              <a:lnTo>
                <a:pt x="12192000" y="3331028"/>
              </a:lnTo>
              <a:lnTo>
                <a:pt x="12192000" y="3429000"/>
              </a:lnTo>
              <a:lnTo>
                <a:pt x="4142793" y="3429000"/>
              </a:lnTo>
              <a:lnTo>
                <a:pt x="4142793" y="6851002"/>
              </a:lnTo>
              <a:lnTo>
                <a:pt x="4021496" y="6851002"/>
              </a:lnTo>
              <a:lnTo>
                <a:pt x="4021496" y="3429000"/>
              </a:lnTo>
              <a:lnTo>
                <a:pt x="0" y="3429000"/>
              </a:lnTo>
              <a:lnTo>
                <a:pt x="0" y="3331028"/>
              </a:lnTo>
              <a:lnTo>
                <a:pt x="8164286" y="3331028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495300</xdr:colOff>
      <xdr:row>2</xdr:row>
      <xdr:rowOff>76200</xdr:rowOff>
    </xdr:from>
    <xdr:to>
      <xdr:col>20</xdr:col>
      <xdr:colOff>495300</xdr:colOff>
      <xdr:row>12</xdr:row>
      <xdr:rowOff>141678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69442B-DB9D-4A48-9DBD-1891C3D44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428625</xdr:colOff>
      <xdr:row>27</xdr:row>
      <xdr:rowOff>95250</xdr:rowOff>
    </xdr:from>
    <xdr:to>
      <xdr:col>20</xdr:col>
      <xdr:colOff>209550</xdr:colOff>
      <xdr:row>38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9F4EAE-A3C2-4690-A006-7146369F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52387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0</xdr:row>
      <xdr:rowOff>0</xdr:rowOff>
    </xdr:from>
    <xdr:to>
      <xdr:col>22</xdr:col>
      <xdr:colOff>38100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75983-AC6D-451F-BCB4-87D3C026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457200</xdr:colOff>
      <xdr:row>0</xdr:row>
      <xdr:rowOff>0</xdr:rowOff>
    </xdr:from>
    <xdr:to>
      <xdr:col>26</xdr:col>
      <xdr:colOff>238125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24A91-F265-41E7-B5BA-4D0CEFD4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485775</xdr:colOff>
      <xdr:row>0</xdr:row>
      <xdr:rowOff>0</xdr:rowOff>
    </xdr:from>
    <xdr:to>
      <xdr:col>25</xdr:col>
      <xdr:colOff>266700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1301BD-B9EE-4FD7-85EE-0437818F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438150</xdr:colOff>
      <xdr:row>0</xdr:row>
      <xdr:rowOff>0</xdr:rowOff>
    </xdr:from>
    <xdr:to>
      <xdr:col>26</xdr:col>
      <xdr:colOff>219075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CD035B-1771-45A0-A790-16CA729E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3</xdr:row>
      <xdr:rowOff>23811</xdr:rowOff>
    </xdr:from>
    <xdr:to>
      <xdr:col>19</xdr:col>
      <xdr:colOff>28574</xdr:colOff>
      <xdr:row>27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95250</xdr:colOff>
      <xdr:row>3</xdr:row>
      <xdr:rowOff>114300</xdr:rowOff>
    </xdr:from>
    <xdr:to>
      <xdr:col>5</xdr:col>
      <xdr:colOff>857250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D5D493-845F-4CB1-8069-87F8C184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685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85725</xdr:rowOff>
    </xdr:from>
    <xdr:to>
      <xdr:col>20</xdr:col>
      <xdr:colOff>76200</xdr:colOff>
      <xdr:row>28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590550</xdr:colOff>
      <xdr:row>0</xdr:row>
      <xdr:rowOff>0</xdr:rowOff>
    </xdr:from>
    <xdr:to>
      <xdr:col>26</xdr:col>
      <xdr:colOff>371475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3BEB9-F4BA-4C64-B6D1-AD9D3B80E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285750</xdr:colOff>
      <xdr:row>0</xdr:row>
      <xdr:rowOff>152400</xdr:rowOff>
    </xdr:from>
    <xdr:to>
      <xdr:col>24</xdr:col>
      <xdr:colOff>66675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3AD214-FC9A-4583-937B-E693E3CB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152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361950</xdr:colOff>
      <xdr:row>0</xdr:row>
      <xdr:rowOff>0</xdr:rowOff>
    </xdr:from>
    <xdr:to>
      <xdr:col>25</xdr:col>
      <xdr:colOff>142875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EA36E-C096-473A-8FA4-DCA9C4DF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128587</xdr:rowOff>
    </xdr:from>
    <xdr:to>
      <xdr:col>14</xdr:col>
      <xdr:colOff>161925</xdr:colOff>
      <xdr:row>19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444A4-BFD0-44AE-D5DD-FC5E46F0B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504825</xdr:colOff>
      <xdr:row>1</xdr:row>
      <xdr:rowOff>9525</xdr:rowOff>
    </xdr:from>
    <xdr:to>
      <xdr:col>24</xdr:col>
      <xdr:colOff>285750</xdr:colOff>
      <xdr:row>12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48778A-670F-4C01-9D81-F5FE4240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200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504825</xdr:colOff>
      <xdr:row>0</xdr:row>
      <xdr:rowOff>0</xdr:rowOff>
    </xdr:from>
    <xdr:to>
      <xdr:col>24</xdr:col>
      <xdr:colOff>285750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D27DD-8D9E-4EC1-81E1-78C66CF7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24</xdr:col>
      <xdr:colOff>390525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455A1-EE48-430C-8FF6-7044AEC28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17</xdr:row>
      <xdr:rowOff>38100</xdr:rowOff>
    </xdr:from>
    <xdr:to>
      <xdr:col>12</xdr:col>
      <xdr:colOff>485775</xdr:colOff>
      <xdr:row>28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8683F-FFCA-4B98-B14E-95755AC1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2766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111</v>
      </c>
      <c r="C4" s="147" t="s">
        <v>57</v>
      </c>
      <c r="D4" s="147" t="s">
        <v>10</v>
      </c>
      <c r="E4" s="147" t="s">
        <v>8</v>
      </c>
    </row>
    <row r="5" spans="2:5">
      <c r="B5" s="66" t="s">
        <v>127</v>
      </c>
      <c r="C5" s="148">
        <v>0.5</v>
      </c>
      <c r="D5" s="148">
        <v>0.5</v>
      </c>
      <c r="E5" s="148">
        <f>C5+D5</f>
        <v>1</v>
      </c>
    </row>
    <row r="6" spans="2:5">
      <c r="B6" s="66" t="s">
        <v>128</v>
      </c>
      <c r="C6" s="148">
        <v>0.05</v>
      </c>
      <c r="D6" s="148">
        <v>0.95</v>
      </c>
      <c r="E6" s="148">
        <f t="shared" ref="E6:E12" si="0">C6+D6</f>
        <v>1</v>
      </c>
    </row>
    <row r="7" spans="2:5">
      <c r="B7" s="66" t="s">
        <v>103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104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105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106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107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108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109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110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112</v>
      </c>
      <c r="C17" s="147">
        <v>1</v>
      </c>
      <c r="D17" s="147">
        <v>2</v>
      </c>
      <c r="E17" s="147">
        <v>3</v>
      </c>
    </row>
    <row r="18" spans="2:14">
      <c r="B18" s="70" t="s">
        <v>116</v>
      </c>
      <c r="C18" s="94">
        <v>51059</v>
      </c>
      <c r="D18" s="94">
        <f>C18*1.03</f>
        <v>52590.770000000004</v>
      </c>
      <c r="E18" s="94">
        <f>D18*1.03</f>
        <v>54168.493100000007</v>
      </c>
    </row>
    <row r="19" spans="2:14">
      <c r="B19" s="70" t="s">
        <v>50</v>
      </c>
      <c r="C19" s="94">
        <f>'Profit and Loss Statement'!E6*0.0157</f>
        <v>39981.400199999996</v>
      </c>
      <c r="D19" s="94">
        <f>'Profit and Loss Statement'!F6*0.0157</f>
        <v>47977.680240000002</v>
      </c>
      <c r="E19" s="94">
        <f>'Profit and Loss Statement'!G6*0.0157</f>
        <v>55174.332275999994</v>
      </c>
    </row>
    <row r="20" spans="2:14">
      <c r="B20" s="70" t="s">
        <v>119</v>
      </c>
      <c r="C20" s="94">
        <f>'Profit and Loss Statement'!E6*0.0152</f>
        <v>38708.107199999999</v>
      </c>
      <c r="D20" s="94">
        <f>'Profit and Loss Statement'!F6*0.0152</f>
        <v>46449.728640000001</v>
      </c>
      <c r="E20" s="94">
        <f>'Profit and Loss Statement'!G6*0.0152</f>
        <v>53417.187935999995</v>
      </c>
    </row>
    <row r="21" spans="2:14">
      <c r="B21" s="70" t="s">
        <v>49</v>
      </c>
      <c r="C21" s="94">
        <f>'Personnel - Editable'!H16*0.06</f>
        <v>43200</v>
      </c>
      <c r="D21" s="94">
        <f>'Personnel - Editable'!I16*0.06</f>
        <v>44496</v>
      </c>
      <c r="E21" s="94">
        <f>'Personnel - Editable'!J16*0.06</f>
        <v>45830.879999999997</v>
      </c>
      <c r="F21" s="120"/>
      <c r="G21" s="120"/>
    </row>
    <row r="22" spans="2:14">
      <c r="B22" s="70" t="s">
        <v>117</v>
      </c>
      <c r="C22" s="94">
        <f>'Profit and Loss Statement'!E6*0.012</f>
        <v>30559.031999999999</v>
      </c>
      <c r="D22" s="94">
        <f>'Profit and Loss Statement'!F6*0.012</f>
        <v>36670.838400000001</v>
      </c>
      <c r="E22" s="94">
        <f>'Profit and Loss Statement'!G6*0.012</f>
        <v>42171.464159999996</v>
      </c>
      <c r="F22" s="1"/>
      <c r="G22" s="1"/>
    </row>
    <row r="23" spans="2:14">
      <c r="B23" s="70" t="s">
        <v>1</v>
      </c>
      <c r="C23" s="94">
        <v>27509</v>
      </c>
      <c r="D23" s="94">
        <f>C23*1.35</f>
        <v>37137.15</v>
      </c>
      <c r="E23" s="94">
        <f>D23*1.35</f>
        <v>50135.152500000004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113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Agency Fees</v>
      </c>
      <c r="C32" s="94">
        <v>202000</v>
      </c>
      <c r="D32" s="94">
        <f>C32+20</f>
        <v>202020</v>
      </c>
      <c r="E32" s="94">
        <f t="shared" ref="E32:N32" si="4">D32+20</f>
        <v>202040</v>
      </c>
      <c r="F32" s="94">
        <f t="shared" si="4"/>
        <v>202060</v>
      </c>
      <c r="G32" s="94">
        <f t="shared" si="4"/>
        <v>202080</v>
      </c>
      <c r="H32" s="94">
        <f t="shared" si="4"/>
        <v>202100</v>
      </c>
      <c r="I32" s="94">
        <f t="shared" si="4"/>
        <v>202120</v>
      </c>
      <c r="J32" s="94">
        <f t="shared" si="4"/>
        <v>202140</v>
      </c>
      <c r="K32" s="94">
        <f t="shared" si="4"/>
        <v>202160</v>
      </c>
      <c r="L32" s="94">
        <f t="shared" si="4"/>
        <v>202180</v>
      </c>
      <c r="M32" s="94">
        <f t="shared" si="4"/>
        <v>202200</v>
      </c>
      <c r="N32" s="94">
        <f t="shared" si="4"/>
        <v>202220</v>
      </c>
    </row>
    <row r="33" spans="2:17">
      <c r="B33" s="66" t="str">
        <f t="shared" si="3"/>
        <v>Consulting Income</v>
      </c>
      <c r="C33" s="94">
        <f>C32*0.05</f>
        <v>10100</v>
      </c>
      <c r="D33" s="94">
        <f t="shared" ref="D33:N33" si="5">D32*0.05</f>
        <v>10101</v>
      </c>
      <c r="E33" s="94">
        <f t="shared" si="5"/>
        <v>10102</v>
      </c>
      <c r="F33" s="94">
        <f t="shared" si="5"/>
        <v>10103</v>
      </c>
      <c r="G33" s="94">
        <f t="shared" si="5"/>
        <v>10104</v>
      </c>
      <c r="H33" s="94">
        <f t="shared" si="5"/>
        <v>10105</v>
      </c>
      <c r="I33" s="94">
        <f t="shared" si="5"/>
        <v>10106</v>
      </c>
      <c r="J33" s="94">
        <f t="shared" si="5"/>
        <v>10107</v>
      </c>
      <c r="K33" s="94">
        <f t="shared" si="5"/>
        <v>10108</v>
      </c>
      <c r="L33" s="94">
        <f t="shared" si="5"/>
        <v>10109</v>
      </c>
      <c r="M33" s="94">
        <f t="shared" si="5"/>
        <v>10110</v>
      </c>
      <c r="N33" s="94">
        <f t="shared" si="5"/>
        <v>10111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45" t="s">
        <v>139</v>
      </c>
    </row>
    <row r="42" spans="2:17">
      <c r="B42" s="153" t="s">
        <v>8</v>
      </c>
      <c r="C42" s="154">
        <f>SUM(C32:C41)</f>
        <v>212100</v>
      </c>
      <c r="D42" s="154">
        <f t="shared" ref="D42:N42" si="6">SUM(D32:D41)</f>
        <v>212121</v>
      </c>
      <c r="E42" s="154">
        <f t="shared" si="6"/>
        <v>212142</v>
      </c>
      <c r="F42" s="154">
        <f t="shared" si="6"/>
        <v>212163</v>
      </c>
      <c r="G42" s="154">
        <f t="shared" si="6"/>
        <v>212184</v>
      </c>
      <c r="H42" s="154">
        <f t="shared" si="6"/>
        <v>212205</v>
      </c>
      <c r="I42" s="154">
        <f t="shared" si="6"/>
        <v>212226</v>
      </c>
      <c r="J42" s="154">
        <f t="shared" si="6"/>
        <v>212247</v>
      </c>
      <c r="K42" s="154">
        <f t="shared" si="6"/>
        <v>212268</v>
      </c>
      <c r="L42" s="154">
        <f t="shared" si="6"/>
        <v>212289</v>
      </c>
      <c r="M42" s="154">
        <f t="shared" si="6"/>
        <v>212310</v>
      </c>
      <c r="N42" s="154">
        <f t="shared" si="6"/>
        <v>212331</v>
      </c>
    </row>
    <row r="44" spans="2:17">
      <c r="B44" s="146"/>
      <c r="C44" s="146"/>
    </row>
    <row r="45" spans="2:17">
      <c r="B45" s="147" t="s">
        <v>126</v>
      </c>
      <c r="C45" s="147"/>
      <c r="G45" s="112" t="s">
        <v>138</v>
      </c>
    </row>
    <row r="46" spans="2:17">
      <c r="B46" s="66" t="s">
        <v>3</v>
      </c>
      <c r="C46" s="144">
        <v>0.2</v>
      </c>
    </row>
    <row r="47" spans="2:17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Agency Fees</v>
      </c>
      <c r="C51" s="114">
        <f t="shared" ref="C51:N51" si="9">C32*($C$5/$E$5)</f>
        <v>101000</v>
      </c>
      <c r="D51" s="114">
        <f t="shared" si="9"/>
        <v>101010</v>
      </c>
      <c r="E51" s="114">
        <f t="shared" si="9"/>
        <v>101020</v>
      </c>
      <c r="F51" s="114">
        <f t="shared" si="9"/>
        <v>101030</v>
      </c>
      <c r="G51" s="114">
        <f t="shared" si="9"/>
        <v>101040</v>
      </c>
      <c r="H51" s="114">
        <f t="shared" si="9"/>
        <v>101050</v>
      </c>
      <c r="I51" s="114">
        <f t="shared" si="9"/>
        <v>101060</v>
      </c>
      <c r="J51" s="114">
        <f t="shared" si="9"/>
        <v>101070</v>
      </c>
      <c r="K51" s="114">
        <f t="shared" si="9"/>
        <v>101080</v>
      </c>
      <c r="L51" s="114">
        <f t="shared" si="9"/>
        <v>101090</v>
      </c>
      <c r="M51" s="114">
        <f t="shared" si="9"/>
        <v>101100</v>
      </c>
      <c r="N51" s="114">
        <f t="shared" si="9"/>
        <v>101110</v>
      </c>
    </row>
    <row r="52" spans="2:14">
      <c r="B52" s="112" t="str">
        <f t="shared" si="8"/>
        <v>Consulting Income</v>
      </c>
      <c r="C52" s="114">
        <f t="shared" ref="C52:N52" si="10">C33*($C$6/$E$6)</f>
        <v>505</v>
      </c>
      <c r="D52" s="114">
        <f t="shared" si="10"/>
        <v>505.05</v>
      </c>
      <c r="E52" s="114">
        <f t="shared" si="10"/>
        <v>505.1</v>
      </c>
      <c r="F52" s="114">
        <f t="shared" si="10"/>
        <v>505.15000000000003</v>
      </c>
      <c r="G52" s="114">
        <f t="shared" si="10"/>
        <v>505.20000000000005</v>
      </c>
      <c r="H52" s="114">
        <f t="shared" si="10"/>
        <v>505.25</v>
      </c>
      <c r="I52" s="114">
        <f t="shared" si="10"/>
        <v>505.3</v>
      </c>
      <c r="J52" s="114">
        <f t="shared" si="10"/>
        <v>505.35</v>
      </c>
      <c r="K52" s="114">
        <f t="shared" si="10"/>
        <v>505.40000000000003</v>
      </c>
      <c r="L52" s="114">
        <f t="shared" si="10"/>
        <v>505.45000000000005</v>
      </c>
      <c r="M52" s="114">
        <f t="shared" si="10"/>
        <v>505.5</v>
      </c>
      <c r="N52" s="114">
        <f t="shared" si="10"/>
        <v>505.55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101505</v>
      </c>
      <c r="D61" s="114">
        <f t="shared" ref="D61:N61" si="19">SUM(D51:D60)</f>
        <v>101515.05</v>
      </c>
      <c r="E61" s="114">
        <f t="shared" si="19"/>
        <v>101525.1</v>
      </c>
      <c r="F61" s="114">
        <f t="shared" si="19"/>
        <v>101535.15</v>
      </c>
      <c r="G61" s="114">
        <f t="shared" si="19"/>
        <v>101545.2</v>
      </c>
      <c r="H61" s="114">
        <f t="shared" si="19"/>
        <v>101555.25</v>
      </c>
      <c r="I61" s="114">
        <f t="shared" si="19"/>
        <v>101565.3</v>
      </c>
      <c r="J61" s="114">
        <f t="shared" si="19"/>
        <v>101575.35</v>
      </c>
      <c r="K61" s="114">
        <f t="shared" si="19"/>
        <v>101585.4</v>
      </c>
      <c r="L61" s="114">
        <f t="shared" si="19"/>
        <v>101595.45</v>
      </c>
      <c r="M61" s="114">
        <f t="shared" si="19"/>
        <v>101605.5</v>
      </c>
      <c r="N61" s="114">
        <f t="shared" si="19"/>
        <v>101615.55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110595</v>
      </c>
      <c r="D66" s="114">
        <f t="shared" si="21"/>
        <v>110605.95</v>
      </c>
      <c r="E66" s="114">
        <f t="shared" si="21"/>
        <v>110616.9</v>
      </c>
      <c r="F66" s="114">
        <f t="shared" si="21"/>
        <v>110627.85</v>
      </c>
      <c r="G66" s="114">
        <f t="shared" si="21"/>
        <v>110638.8</v>
      </c>
      <c r="H66" s="114">
        <f t="shared" si="21"/>
        <v>110649.75</v>
      </c>
      <c r="I66" s="114">
        <f t="shared" si="21"/>
        <v>110660.7</v>
      </c>
      <c r="J66" s="114">
        <f t="shared" si="21"/>
        <v>110671.65</v>
      </c>
      <c r="K66" s="114">
        <f t="shared" si="21"/>
        <v>110682.6</v>
      </c>
      <c r="L66" s="114">
        <f t="shared" si="21"/>
        <v>110693.55</v>
      </c>
      <c r="M66" s="114">
        <f t="shared" si="21"/>
        <v>110704.5</v>
      </c>
      <c r="N66" s="114">
        <f t="shared" si="21"/>
        <v>110715.45</v>
      </c>
    </row>
  </sheetData>
  <sheetProtection algorithmName="SHA-512" hashValue="xIiBt/fOvVv6ldI+3W2tmAtqQ1p565k7zrnK6bNNaS///FER2D3RTgiADGiD+f9dhgU6ybeCweCRW0UFkY6kkw==" saltValue="E+WPUyUf/ouyFZLe/3B+6w==" spinCount="100000" sheet="1" objects="1" scenarios="1" selectLockedCells="1"/>
  <hyperlinks>
    <hyperlink ref="Q41" r:id="rId1" xr:uid="{BA93545F-2135-4C1C-AB78-0348C78B43A7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8" sqref="R8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0</v>
      </c>
      <c r="C5" s="55"/>
      <c r="D5" s="56" t="s">
        <v>36</v>
      </c>
      <c r="E5" s="59">
        <f>PMT(B6/B8,(B7*B8),-B5)</f>
        <v>0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0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0</v>
      </c>
      <c r="C14" s="1">
        <f>B14-D14</f>
        <v>0</v>
      </c>
      <c r="D14" s="1">
        <f>(B5*($B$6/$B$8))</f>
        <v>0</v>
      </c>
      <c r="E14" s="1">
        <f>B5-C14</f>
        <v>0</v>
      </c>
    </row>
    <row r="15" spans="1:5">
      <c r="A15">
        <f>IF(($B$7*$B$8&gt;A14),IF(($B$7*$B$8)=A14,"",A14+1),"")</f>
        <v>2</v>
      </c>
      <c r="B15" s="1">
        <f>IF(A15="","",$B$14)</f>
        <v>0</v>
      </c>
      <c r="C15" s="1">
        <f>IF(A15="","",B15-D15)</f>
        <v>0</v>
      </c>
      <c r="D15" s="1">
        <f>IF(A15="","",(E14*($B$6/$B$8)))</f>
        <v>0</v>
      </c>
      <c r="E15" s="1">
        <f>IF(A15="","",E14-C15)</f>
        <v>0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0</v>
      </c>
      <c r="C16" s="1">
        <f t="shared" ref="C16:C79" si="2">IF(A16="","",B16-D16)</f>
        <v>0</v>
      </c>
      <c r="D16" s="1">
        <f t="shared" ref="D16:D79" si="3">IF(A16="","",(E15*($B$6/$B$8)))</f>
        <v>0</v>
      </c>
      <c r="E16" s="1">
        <f t="shared" ref="E16:E79" si="4">IF(A16="","",E15-C16)</f>
        <v>0</v>
      </c>
    </row>
    <row r="17" spans="1:5">
      <c r="A17">
        <f t="shared" si="0"/>
        <v>4</v>
      </c>
      <c r="B17" s="1">
        <f t="shared" si="1"/>
        <v>0</v>
      </c>
      <c r="C17" s="1">
        <f t="shared" si="2"/>
        <v>0</v>
      </c>
      <c r="D17" s="1">
        <f t="shared" si="3"/>
        <v>0</v>
      </c>
      <c r="E17" s="1">
        <f t="shared" si="4"/>
        <v>0</v>
      </c>
    </row>
    <row r="18" spans="1:5">
      <c r="A18">
        <f t="shared" si="0"/>
        <v>5</v>
      </c>
      <c r="B18" s="1">
        <f t="shared" si="1"/>
        <v>0</v>
      </c>
      <c r="C18" s="1">
        <f t="shared" si="2"/>
        <v>0</v>
      </c>
      <c r="D18" s="1">
        <f t="shared" si="3"/>
        <v>0</v>
      </c>
      <c r="E18" s="1">
        <f t="shared" si="4"/>
        <v>0</v>
      </c>
    </row>
    <row r="19" spans="1:5">
      <c r="A19">
        <f t="shared" si="0"/>
        <v>6</v>
      </c>
      <c r="B19" s="1">
        <f t="shared" si="1"/>
        <v>0</v>
      </c>
      <c r="C19" s="1">
        <f t="shared" si="2"/>
        <v>0</v>
      </c>
      <c r="D19" s="1">
        <f t="shared" si="3"/>
        <v>0</v>
      </c>
      <c r="E19" s="1">
        <f t="shared" si="4"/>
        <v>0</v>
      </c>
    </row>
    <row r="20" spans="1:5">
      <c r="A20">
        <f t="shared" si="0"/>
        <v>7</v>
      </c>
      <c r="B20" s="1">
        <f t="shared" si="1"/>
        <v>0</v>
      </c>
      <c r="C20" s="1">
        <f t="shared" si="2"/>
        <v>0</v>
      </c>
      <c r="D20" s="1">
        <f t="shared" si="3"/>
        <v>0</v>
      </c>
      <c r="E20" s="1">
        <f t="shared" si="4"/>
        <v>0</v>
      </c>
    </row>
    <row r="21" spans="1:5">
      <c r="A21">
        <f t="shared" si="0"/>
        <v>8</v>
      </c>
      <c r="B21" s="1">
        <f t="shared" si="1"/>
        <v>0</v>
      </c>
      <c r="C21" s="1">
        <f t="shared" si="2"/>
        <v>0</v>
      </c>
      <c r="D21" s="1">
        <f t="shared" si="3"/>
        <v>0</v>
      </c>
      <c r="E21" s="1">
        <f t="shared" si="4"/>
        <v>0</v>
      </c>
    </row>
    <row r="22" spans="1:5">
      <c r="A22">
        <f t="shared" si="0"/>
        <v>9</v>
      </c>
      <c r="B22" s="1">
        <f t="shared" si="1"/>
        <v>0</v>
      </c>
      <c r="C22" s="1">
        <f t="shared" si="2"/>
        <v>0</v>
      </c>
      <c r="D22" s="1">
        <f t="shared" si="3"/>
        <v>0</v>
      </c>
      <c r="E22" s="1">
        <f t="shared" si="4"/>
        <v>0</v>
      </c>
    </row>
    <row r="23" spans="1:5">
      <c r="A23">
        <f t="shared" si="0"/>
        <v>10</v>
      </c>
      <c r="B23" s="1">
        <f t="shared" si="1"/>
        <v>0</v>
      </c>
      <c r="C23" s="1">
        <f t="shared" si="2"/>
        <v>0</v>
      </c>
      <c r="D23" s="1">
        <f t="shared" si="3"/>
        <v>0</v>
      </c>
      <c r="E23" s="1">
        <f t="shared" si="4"/>
        <v>0</v>
      </c>
    </row>
    <row r="24" spans="1:5">
      <c r="A24">
        <f t="shared" si="0"/>
        <v>11</v>
      </c>
      <c r="B24" s="1">
        <f t="shared" si="1"/>
        <v>0</v>
      </c>
      <c r="C24" s="1">
        <f t="shared" si="2"/>
        <v>0</v>
      </c>
      <c r="D24" s="1">
        <f t="shared" si="3"/>
        <v>0</v>
      </c>
      <c r="E24" s="1">
        <f t="shared" si="4"/>
        <v>0</v>
      </c>
    </row>
    <row r="25" spans="1:5">
      <c r="A25">
        <f t="shared" si="0"/>
        <v>12</v>
      </c>
      <c r="B25" s="1">
        <f t="shared" si="1"/>
        <v>0</v>
      </c>
      <c r="C25" s="1">
        <f t="shared" si="2"/>
        <v>0</v>
      </c>
      <c r="D25" s="1">
        <f t="shared" si="3"/>
        <v>0</v>
      </c>
      <c r="E25" s="1">
        <f t="shared" si="4"/>
        <v>0</v>
      </c>
    </row>
    <row r="26" spans="1:5">
      <c r="A26">
        <f t="shared" si="0"/>
        <v>13</v>
      </c>
      <c r="B26" s="1">
        <f t="shared" si="1"/>
        <v>0</v>
      </c>
      <c r="C26" s="1">
        <f t="shared" si="2"/>
        <v>0</v>
      </c>
      <c r="D26" s="1">
        <f t="shared" si="3"/>
        <v>0</v>
      </c>
      <c r="E26" s="1">
        <f t="shared" si="4"/>
        <v>0</v>
      </c>
    </row>
    <row r="27" spans="1:5">
      <c r="A27">
        <f t="shared" si="0"/>
        <v>14</v>
      </c>
      <c r="B27" s="1">
        <f t="shared" si="1"/>
        <v>0</v>
      </c>
      <c r="C27" s="1">
        <f t="shared" si="2"/>
        <v>0</v>
      </c>
      <c r="D27" s="1">
        <f t="shared" si="3"/>
        <v>0</v>
      </c>
      <c r="E27" s="1">
        <f t="shared" si="4"/>
        <v>0</v>
      </c>
    </row>
    <row r="28" spans="1:5">
      <c r="A28">
        <f t="shared" si="0"/>
        <v>15</v>
      </c>
      <c r="B28" s="1">
        <f t="shared" si="1"/>
        <v>0</v>
      </c>
      <c r="C28" s="1">
        <f t="shared" si="2"/>
        <v>0</v>
      </c>
      <c r="D28" s="1">
        <f t="shared" si="3"/>
        <v>0</v>
      </c>
      <c r="E28" s="1">
        <f t="shared" si="4"/>
        <v>0</v>
      </c>
    </row>
    <row r="29" spans="1:5">
      <c r="A29">
        <f t="shared" si="0"/>
        <v>16</v>
      </c>
      <c r="B29" s="1">
        <f t="shared" si="1"/>
        <v>0</v>
      </c>
      <c r="C29" s="1">
        <f t="shared" si="2"/>
        <v>0</v>
      </c>
      <c r="D29" s="1">
        <f t="shared" si="3"/>
        <v>0</v>
      </c>
      <c r="E29" s="1">
        <f t="shared" si="4"/>
        <v>0</v>
      </c>
    </row>
    <row r="30" spans="1:5">
      <c r="A30">
        <f t="shared" si="0"/>
        <v>17</v>
      </c>
      <c r="B30" s="1">
        <f t="shared" si="1"/>
        <v>0</v>
      </c>
      <c r="C30" s="1">
        <f t="shared" si="2"/>
        <v>0</v>
      </c>
      <c r="D30" s="1">
        <f t="shared" si="3"/>
        <v>0</v>
      </c>
      <c r="E30" s="1">
        <f t="shared" si="4"/>
        <v>0</v>
      </c>
    </row>
    <row r="31" spans="1:5">
      <c r="A31">
        <f t="shared" si="0"/>
        <v>18</v>
      </c>
      <c r="B31" s="1">
        <f t="shared" si="1"/>
        <v>0</v>
      </c>
      <c r="C31" s="1">
        <f t="shared" si="2"/>
        <v>0</v>
      </c>
      <c r="D31" s="1">
        <f t="shared" si="3"/>
        <v>0</v>
      </c>
      <c r="E31" s="1">
        <f t="shared" si="4"/>
        <v>0</v>
      </c>
    </row>
    <row r="32" spans="1:5">
      <c r="A32">
        <f t="shared" si="0"/>
        <v>19</v>
      </c>
      <c r="B32" s="1">
        <f t="shared" si="1"/>
        <v>0</v>
      </c>
      <c r="C32" s="1">
        <f t="shared" si="2"/>
        <v>0</v>
      </c>
      <c r="D32" s="1">
        <f t="shared" si="3"/>
        <v>0</v>
      </c>
      <c r="E32" s="1">
        <f t="shared" si="4"/>
        <v>0</v>
      </c>
    </row>
    <row r="33" spans="1:5">
      <c r="A33">
        <f t="shared" si="0"/>
        <v>20</v>
      </c>
      <c r="B33" s="1">
        <f t="shared" si="1"/>
        <v>0</v>
      </c>
      <c r="C33" s="1">
        <f t="shared" si="2"/>
        <v>0</v>
      </c>
      <c r="D33" s="1">
        <f t="shared" si="3"/>
        <v>0</v>
      </c>
      <c r="E33" s="1">
        <f t="shared" si="4"/>
        <v>0</v>
      </c>
    </row>
    <row r="34" spans="1:5">
      <c r="A34">
        <f t="shared" si="0"/>
        <v>21</v>
      </c>
      <c r="B34" s="1">
        <f t="shared" si="1"/>
        <v>0</v>
      </c>
      <c r="C34" s="1">
        <f t="shared" si="2"/>
        <v>0</v>
      </c>
      <c r="D34" s="1">
        <f t="shared" si="3"/>
        <v>0</v>
      </c>
      <c r="E34" s="1">
        <f t="shared" si="4"/>
        <v>0</v>
      </c>
    </row>
    <row r="35" spans="1:5">
      <c r="A35">
        <f t="shared" si="0"/>
        <v>22</v>
      </c>
      <c r="B35" s="1">
        <f t="shared" si="1"/>
        <v>0</v>
      </c>
      <c r="C35" s="1">
        <f t="shared" si="2"/>
        <v>0</v>
      </c>
      <c r="D35" s="1">
        <f t="shared" si="3"/>
        <v>0</v>
      </c>
      <c r="E35" s="1">
        <f t="shared" si="4"/>
        <v>0</v>
      </c>
    </row>
    <row r="36" spans="1:5">
      <c r="A36">
        <f t="shared" si="0"/>
        <v>23</v>
      </c>
      <c r="B36" s="1">
        <f t="shared" si="1"/>
        <v>0</v>
      </c>
      <c r="C36" s="1">
        <f t="shared" si="2"/>
        <v>0</v>
      </c>
      <c r="D36" s="1">
        <f t="shared" si="3"/>
        <v>0</v>
      </c>
      <c r="E36" s="1">
        <f t="shared" si="4"/>
        <v>0</v>
      </c>
    </row>
    <row r="37" spans="1:5">
      <c r="A37">
        <f t="shared" si="0"/>
        <v>24</v>
      </c>
      <c r="B37" s="1">
        <f t="shared" si="1"/>
        <v>0</v>
      </c>
      <c r="C37" s="1">
        <f t="shared" si="2"/>
        <v>0</v>
      </c>
      <c r="D37" s="1">
        <f t="shared" si="3"/>
        <v>0</v>
      </c>
      <c r="E37" s="1">
        <f t="shared" si="4"/>
        <v>0</v>
      </c>
    </row>
    <row r="38" spans="1:5">
      <c r="A38">
        <f t="shared" si="0"/>
        <v>25</v>
      </c>
      <c r="B38" s="1">
        <f t="shared" si="1"/>
        <v>0</v>
      </c>
      <c r="C38" s="1">
        <f t="shared" si="2"/>
        <v>0</v>
      </c>
      <c r="D38" s="1">
        <f t="shared" si="3"/>
        <v>0</v>
      </c>
      <c r="E38" s="1">
        <f t="shared" si="4"/>
        <v>0</v>
      </c>
    </row>
    <row r="39" spans="1:5">
      <c r="A39">
        <f t="shared" si="0"/>
        <v>26</v>
      </c>
      <c r="B39" s="1">
        <f t="shared" si="1"/>
        <v>0</v>
      </c>
      <c r="C39" s="1">
        <f t="shared" si="2"/>
        <v>0</v>
      </c>
      <c r="D39" s="1">
        <f t="shared" si="3"/>
        <v>0</v>
      </c>
      <c r="E39" s="1">
        <f t="shared" si="4"/>
        <v>0</v>
      </c>
    </row>
    <row r="40" spans="1:5">
      <c r="A40">
        <f t="shared" si="0"/>
        <v>27</v>
      </c>
      <c r="B40" s="1">
        <f t="shared" si="1"/>
        <v>0</v>
      </c>
      <c r="C40" s="1">
        <f t="shared" si="2"/>
        <v>0</v>
      </c>
      <c r="D40" s="1">
        <f t="shared" si="3"/>
        <v>0</v>
      </c>
      <c r="E40" s="1">
        <f t="shared" si="4"/>
        <v>0</v>
      </c>
    </row>
    <row r="41" spans="1:5">
      <c r="A41">
        <f t="shared" si="0"/>
        <v>28</v>
      </c>
      <c r="B41" s="1">
        <f t="shared" si="1"/>
        <v>0</v>
      </c>
      <c r="C41" s="1">
        <f t="shared" si="2"/>
        <v>0</v>
      </c>
      <c r="D41" s="1">
        <f t="shared" si="3"/>
        <v>0</v>
      </c>
      <c r="E41" s="1">
        <f t="shared" si="4"/>
        <v>0</v>
      </c>
    </row>
    <row r="42" spans="1:5">
      <c r="A42">
        <f t="shared" si="0"/>
        <v>29</v>
      </c>
      <c r="B42" s="1">
        <f t="shared" si="1"/>
        <v>0</v>
      </c>
      <c r="C42" s="1">
        <f t="shared" si="2"/>
        <v>0</v>
      </c>
      <c r="D42" s="1">
        <f t="shared" si="3"/>
        <v>0</v>
      </c>
      <c r="E42" s="1">
        <f t="shared" si="4"/>
        <v>0</v>
      </c>
    </row>
    <row r="43" spans="1:5">
      <c r="A43">
        <f t="shared" si="0"/>
        <v>30</v>
      </c>
      <c r="B43" s="1">
        <f t="shared" si="1"/>
        <v>0</v>
      </c>
      <c r="C43" s="1">
        <f t="shared" si="2"/>
        <v>0</v>
      </c>
      <c r="D43" s="1">
        <f t="shared" si="3"/>
        <v>0</v>
      </c>
      <c r="E43" s="1">
        <f t="shared" si="4"/>
        <v>0</v>
      </c>
    </row>
    <row r="44" spans="1:5">
      <c r="A44">
        <f t="shared" si="0"/>
        <v>31</v>
      </c>
      <c r="B44" s="1">
        <f t="shared" si="1"/>
        <v>0</v>
      </c>
      <c r="C44" s="1">
        <f t="shared" si="2"/>
        <v>0</v>
      </c>
      <c r="D44" s="1">
        <f t="shared" si="3"/>
        <v>0</v>
      </c>
      <c r="E44" s="1">
        <f t="shared" si="4"/>
        <v>0</v>
      </c>
    </row>
    <row r="45" spans="1:5">
      <c r="A45">
        <f t="shared" si="0"/>
        <v>32</v>
      </c>
      <c r="B45" s="1">
        <f t="shared" si="1"/>
        <v>0</v>
      </c>
      <c r="C45" s="1">
        <f t="shared" si="2"/>
        <v>0</v>
      </c>
      <c r="D45" s="1">
        <f t="shared" si="3"/>
        <v>0</v>
      </c>
      <c r="E45" s="1">
        <f t="shared" si="4"/>
        <v>0</v>
      </c>
    </row>
    <row r="46" spans="1:5">
      <c r="A46">
        <f t="shared" si="0"/>
        <v>33</v>
      </c>
      <c r="B46" s="1">
        <f t="shared" si="1"/>
        <v>0</v>
      </c>
      <c r="C46" s="1">
        <f t="shared" si="2"/>
        <v>0</v>
      </c>
      <c r="D46" s="1">
        <f t="shared" si="3"/>
        <v>0</v>
      </c>
      <c r="E46" s="1">
        <f t="shared" si="4"/>
        <v>0</v>
      </c>
    </row>
    <row r="47" spans="1:5">
      <c r="A47">
        <f t="shared" si="0"/>
        <v>34</v>
      </c>
      <c r="B47" s="1">
        <f t="shared" si="1"/>
        <v>0</v>
      </c>
      <c r="C47" s="1">
        <f t="shared" si="2"/>
        <v>0</v>
      </c>
      <c r="D47" s="1">
        <f t="shared" si="3"/>
        <v>0</v>
      </c>
      <c r="E47" s="1">
        <f t="shared" si="4"/>
        <v>0</v>
      </c>
    </row>
    <row r="48" spans="1:5">
      <c r="A48">
        <f t="shared" si="0"/>
        <v>35</v>
      </c>
      <c r="B48" s="1">
        <f t="shared" si="1"/>
        <v>0</v>
      </c>
      <c r="C48" s="1">
        <f t="shared" si="2"/>
        <v>0</v>
      </c>
      <c r="D48" s="1">
        <f t="shared" si="3"/>
        <v>0</v>
      </c>
      <c r="E48" s="1">
        <f t="shared" si="4"/>
        <v>0</v>
      </c>
    </row>
    <row r="49" spans="1:5">
      <c r="A49">
        <f t="shared" si="0"/>
        <v>36</v>
      </c>
      <c r="B49" s="1">
        <f t="shared" si="1"/>
        <v>0</v>
      </c>
      <c r="C49" s="1">
        <f t="shared" si="2"/>
        <v>0</v>
      </c>
      <c r="D49" s="1">
        <f t="shared" si="3"/>
        <v>0</v>
      </c>
      <c r="E49" s="1">
        <f t="shared" si="4"/>
        <v>0</v>
      </c>
    </row>
    <row r="50" spans="1:5">
      <c r="A50">
        <f t="shared" si="0"/>
        <v>37</v>
      </c>
      <c r="B50" s="1">
        <f t="shared" si="1"/>
        <v>0</v>
      </c>
      <c r="C50" s="1">
        <f t="shared" si="2"/>
        <v>0</v>
      </c>
      <c r="D50" s="1">
        <f t="shared" si="3"/>
        <v>0</v>
      </c>
      <c r="E50" s="1">
        <f t="shared" si="4"/>
        <v>0</v>
      </c>
    </row>
    <row r="51" spans="1:5">
      <c r="A51">
        <f t="shared" si="0"/>
        <v>38</v>
      </c>
      <c r="B51" s="1">
        <f t="shared" si="1"/>
        <v>0</v>
      </c>
      <c r="C51" s="1">
        <f t="shared" si="2"/>
        <v>0</v>
      </c>
      <c r="D51" s="1">
        <f t="shared" si="3"/>
        <v>0</v>
      </c>
      <c r="E51" s="1">
        <f t="shared" si="4"/>
        <v>0</v>
      </c>
    </row>
    <row r="52" spans="1:5">
      <c r="A52">
        <f t="shared" si="0"/>
        <v>39</v>
      </c>
      <c r="B52" s="1">
        <f t="shared" si="1"/>
        <v>0</v>
      </c>
      <c r="C52" s="1">
        <f t="shared" si="2"/>
        <v>0</v>
      </c>
      <c r="D52" s="1">
        <f t="shared" si="3"/>
        <v>0</v>
      </c>
      <c r="E52" s="1">
        <f t="shared" si="4"/>
        <v>0</v>
      </c>
    </row>
    <row r="53" spans="1:5">
      <c r="A53">
        <f t="shared" si="0"/>
        <v>40</v>
      </c>
      <c r="B53" s="1">
        <f t="shared" si="1"/>
        <v>0</v>
      </c>
      <c r="C53" s="1">
        <f t="shared" si="2"/>
        <v>0</v>
      </c>
      <c r="D53" s="1">
        <f t="shared" si="3"/>
        <v>0</v>
      </c>
      <c r="E53" s="1">
        <f t="shared" si="4"/>
        <v>0</v>
      </c>
    </row>
    <row r="54" spans="1:5">
      <c r="A54">
        <f t="shared" si="0"/>
        <v>41</v>
      </c>
      <c r="B54" s="1">
        <f t="shared" si="1"/>
        <v>0</v>
      </c>
      <c r="C54" s="1">
        <f t="shared" si="2"/>
        <v>0</v>
      </c>
      <c r="D54" s="1">
        <f t="shared" si="3"/>
        <v>0</v>
      </c>
      <c r="E54" s="1">
        <f t="shared" si="4"/>
        <v>0</v>
      </c>
    </row>
    <row r="55" spans="1:5">
      <c r="A55">
        <f t="shared" si="0"/>
        <v>42</v>
      </c>
      <c r="B55" s="1">
        <f t="shared" si="1"/>
        <v>0</v>
      </c>
      <c r="C55" s="1">
        <f t="shared" si="2"/>
        <v>0</v>
      </c>
      <c r="D55" s="1">
        <f t="shared" si="3"/>
        <v>0</v>
      </c>
      <c r="E55" s="1">
        <f t="shared" si="4"/>
        <v>0</v>
      </c>
    </row>
    <row r="56" spans="1:5">
      <c r="A56">
        <f t="shared" si="0"/>
        <v>43</v>
      </c>
      <c r="B56" s="1">
        <f t="shared" si="1"/>
        <v>0</v>
      </c>
      <c r="C56" s="1">
        <f t="shared" si="2"/>
        <v>0</v>
      </c>
      <c r="D56" s="1">
        <f t="shared" si="3"/>
        <v>0</v>
      </c>
      <c r="E56" s="1">
        <f t="shared" si="4"/>
        <v>0</v>
      </c>
    </row>
    <row r="57" spans="1:5">
      <c r="A57">
        <f t="shared" si="0"/>
        <v>44</v>
      </c>
      <c r="B57" s="1">
        <f t="shared" si="1"/>
        <v>0</v>
      </c>
      <c r="C57" s="1">
        <f t="shared" si="2"/>
        <v>0</v>
      </c>
      <c r="D57" s="1">
        <f t="shared" si="3"/>
        <v>0</v>
      </c>
      <c r="E57" s="1">
        <f t="shared" si="4"/>
        <v>0</v>
      </c>
    </row>
    <row r="58" spans="1:5">
      <c r="A58">
        <f t="shared" si="0"/>
        <v>45</v>
      </c>
      <c r="B58" s="1">
        <f t="shared" si="1"/>
        <v>0</v>
      </c>
      <c r="C58" s="1">
        <f t="shared" si="2"/>
        <v>0</v>
      </c>
      <c r="D58" s="1">
        <f t="shared" si="3"/>
        <v>0</v>
      </c>
      <c r="E58" s="1">
        <f t="shared" si="4"/>
        <v>0</v>
      </c>
    </row>
    <row r="59" spans="1:5">
      <c r="A59">
        <f t="shared" si="0"/>
        <v>46</v>
      </c>
      <c r="B59" s="1">
        <f t="shared" si="1"/>
        <v>0</v>
      </c>
      <c r="C59" s="1">
        <f t="shared" si="2"/>
        <v>0</v>
      </c>
      <c r="D59" s="1">
        <f t="shared" si="3"/>
        <v>0</v>
      </c>
      <c r="E59" s="1">
        <f t="shared" si="4"/>
        <v>0</v>
      </c>
    </row>
    <row r="60" spans="1:5">
      <c r="A60">
        <f t="shared" si="0"/>
        <v>47</v>
      </c>
      <c r="B60" s="1">
        <f t="shared" si="1"/>
        <v>0</v>
      </c>
      <c r="C60" s="1">
        <f t="shared" si="2"/>
        <v>0</v>
      </c>
      <c r="D60" s="1">
        <f t="shared" si="3"/>
        <v>0</v>
      </c>
      <c r="E60" s="1">
        <f t="shared" si="4"/>
        <v>0</v>
      </c>
    </row>
    <row r="61" spans="1:5">
      <c r="A61">
        <f t="shared" si="0"/>
        <v>48</v>
      </c>
      <c r="B61" s="1">
        <f t="shared" si="1"/>
        <v>0</v>
      </c>
      <c r="C61" s="1">
        <f t="shared" si="2"/>
        <v>0</v>
      </c>
      <c r="D61" s="1">
        <f t="shared" si="3"/>
        <v>0</v>
      </c>
      <c r="E61" s="1">
        <f t="shared" si="4"/>
        <v>0</v>
      </c>
    </row>
    <row r="62" spans="1:5">
      <c r="A62">
        <f t="shared" si="0"/>
        <v>49</v>
      </c>
      <c r="B62" s="1">
        <f t="shared" si="1"/>
        <v>0</v>
      </c>
      <c r="C62" s="1">
        <f t="shared" si="2"/>
        <v>0</v>
      </c>
      <c r="D62" s="1">
        <f t="shared" si="3"/>
        <v>0</v>
      </c>
      <c r="E62" s="1">
        <f t="shared" si="4"/>
        <v>0</v>
      </c>
    </row>
    <row r="63" spans="1:5">
      <c r="A63">
        <f t="shared" si="0"/>
        <v>50</v>
      </c>
      <c r="B63" s="1">
        <f t="shared" si="1"/>
        <v>0</v>
      </c>
      <c r="C63" s="1">
        <f t="shared" si="2"/>
        <v>0</v>
      </c>
      <c r="D63" s="1">
        <f t="shared" si="3"/>
        <v>0</v>
      </c>
      <c r="E63" s="1">
        <f t="shared" si="4"/>
        <v>0</v>
      </c>
    </row>
    <row r="64" spans="1:5">
      <c r="A64">
        <f t="shared" si="0"/>
        <v>51</v>
      </c>
      <c r="B64" s="1">
        <f t="shared" si="1"/>
        <v>0</v>
      </c>
      <c r="C64" s="1">
        <f t="shared" si="2"/>
        <v>0</v>
      </c>
      <c r="D64" s="1">
        <f t="shared" si="3"/>
        <v>0</v>
      </c>
      <c r="E64" s="1">
        <f t="shared" si="4"/>
        <v>0</v>
      </c>
    </row>
    <row r="65" spans="1:5">
      <c r="A65">
        <f t="shared" si="0"/>
        <v>52</v>
      </c>
      <c r="B65" s="1">
        <f t="shared" si="1"/>
        <v>0</v>
      </c>
      <c r="C65" s="1">
        <f t="shared" si="2"/>
        <v>0</v>
      </c>
      <c r="D65" s="1">
        <f t="shared" si="3"/>
        <v>0</v>
      </c>
      <c r="E65" s="1">
        <f t="shared" si="4"/>
        <v>0</v>
      </c>
    </row>
    <row r="66" spans="1:5">
      <c r="A66">
        <f t="shared" si="0"/>
        <v>53</v>
      </c>
      <c r="B66" s="1">
        <f t="shared" si="1"/>
        <v>0</v>
      </c>
      <c r="C66" s="1">
        <f t="shared" si="2"/>
        <v>0</v>
      </c>
      <c r="D66" s="1">
        <f t="shared" si="3"/>
        <v>0</v>
      </c>
      <c r="E66" s="1">
        <f t="shared" si="4"/>
        <v>0</v>
      </c>
    </row>
    <row r="67" spans="1:5">
      <c r="A67">
        <f t="shared" si="0"/>
        <v>54</v>
      </c>
      <c r="B67" s="1">
        <f t="shared" si="1"/>
        <v>0</v>
      </c>
      <c r="C67" s="1">
        <f t="shared" si="2"/>
        <v>0</v>
      </c>
      <c r="D67" s="1">
        <f t="shared" si="3"/>
        <v>0</v>
      </c>
      <c r="E67" s="1">
        <f t="shared" si="4"/>
        <v>0</v>
      </c>
    </row>
    <row r="68" spans="1:5">
      <c r="A68">
        <f t="shared" si="0"/>
        <v>55</v>
      </c>
      <c r="B68" s="1">
        <f t="shared" si="1"/>
        <v>0</v>
      </c>
      <c r="C68" s="1">
        <f t="shared" si="2"/>
        <v>0</v>
      </c>
      <c r="D68" s="1">
        <f t="shared" si="3"/>
        <v>0</v>
      </c>
      <c r="E68" s="1">
        <f t="shared" si="4"/>
        <v>0</v>
      </c>
    </row>
    <row r="69" spans="1:5">
      <c r="A69">
        <f t="shared" si="0"/>
        <v>56</v>
      </c>
      <c r="B69" s="1">
        <f t="shared" si="1"/>
        <v>0</v>
      </c>
      <c r="C69" s="1">
        <f t="shared" si="2"/>
        <v>0</v>
      </c>
      <c r="D69" s="1">
        <f t="shared" si="3"/>
        <v>0</v>
      </c>
      <c r="E69" s="1">
        <f t="shared" si="4"/>
        <v>0</v>
      </c>
    </row>
    <row r="70" spans="1:5">
      <c r="A70">
        <f t="shared" si="0"/>
        <v>57</v>
      </c>
      <c r="B70" s="1">
        <f t="shared" si="1"/>
        <v>0</v>
      </c>
      <c r="C70" s="1">
        <f t="shared" si="2"/>
        <v>0</v>
      </c>
      <c r="D70" s="1">
        <f t="shared" si="3"/>
        <v>0</v>
      </c>
      <c r="E70" s="1">
        <f t="shared" si="4"/>
        <v>0</v>
      </c>
    </row>
    <row r="71" spans="1:5">
      <c r="A71">
        <f t="shared" si="0"/>
        <v>58</v>
      </c>
      <c r="B71" s="1">
        <f t="shared" si="1"/>
        <v>0</v>
      </c>
      <c r="C71" s="1">
        <f t="shared" si="2"/>
        <v>0</v>
      </c>
      <c r="D71" s="1">
        <f t="shared" si="3"/>
        <v>0</v>
      </c>
      <c r="E71" s="1">
        <f t="shared" si="4"/>
        <v>0</v>
      </c>
    </row>
    <row r="72" spans="1:5">
      <c r="A72">
        <f t="shared" si="0"/>
        <v>59</v>
      </c>
      <c r="B72" s="1">
        <f t="shared" si="1"/>
        <v>0</v>
      </c>
      <c r="C72" s="1">
        <f t="shared" si="2"/>
        <v>0</v>
      </c>
      <c r="D72" s="1">
        <f t="shared" si="3"/>
        <v>0</v>
      </c>
      <c r="E72" s="1">
        <f t="shared" si="4"/>
        <v>0</v>
      </c>
    </row>
    <row r="73" spans="1:5">
      <c r="A73">
        <f t="shared" si="0"/>
        <v>60</v>
      </c>
      <c r="B73" s="1">
        <f t="shared" si="1"/>
        <v>0</v>
      </c>
      <c r="C73" s="1">
        <f t="shared" si="2"/>
        <v>0</v>
      </c>
      <c r="D73" s="1">
        <f t="shared" si="3"/>
        <v>0</v>
      </c>
      <c r="E73" s="1">
        <f t="shared" si="4"/>
        <v>0</v>
      </c>
    </row>
    <row r="74" spans="1:5">
      <c r="A74">
        <f t="shared" si="0"/>
        <v>61</v>
      </c>
      <c r="B74" s="1">
        <f t="shared" si="1"/>
        <v>0</v>
      </c>
      <c r="C74" s="1">
        <f t="shared" si="2"/>
        <v>0</v>
      </c>
      <c r="D74" s="1">
        <f t="shared" si="3"/>
        <v>0</v>
      </c>
      <c r="E74" s="1">
        <f t="shared" si="4"/>
        <v>0</v>
      </c>
    </row>
    <row r="75" spans="1:5">
      <c r="A75">
        <f t="shared" si="0"/>
        <v>62</v>
      </c>
      <c r="B75" s="1">
        <f t="shared" si="1"/>
        <v>0</v>
      </c>
      <c r="C75" s="1">
        <f t="shared" si="2"/>
        <v>0</v>
      </c>
      <c r="D75" s="1">
        <f t="shared" si="3"/>
        <v>0</v>
      </c>
      <c r="E75" s="1">
        <f t="shared" si="4"/>
        <v>0</v>
      </c>
    </row>
    <row r="76" spans="1:5">
      <c r="A76">
        <f t="shared" si="0"/>
        <v>63</v>
      </c>
      <c r="B76" s="1">
        <f t="shared" si="1"/>
        <v>0</v>
      </c>
      <c r="C76" s="1">
        <f t="shared" si="2"/>
        <v>0</v>
      </c>
      <c r="D76" s="1">
        <f t="shared" si="3"/>
        <v>0</v>
      </c>
      <c r="E76" s="1">
        <f t="shared" si="4"/>
        <v>0</v>
      </c>
    </row>
    <row r="77" spans="1:5">
      <c r="A77">
        <f t="shared" si="0"/>
        <v>64</v>
      </c>
      <c r="B77" s="1">
        <f t="shared" si="1"/>
        <v>0</v>
      </c>
      <c r="C77" s="1">
        <f t="shared" si="2"/>
        <v>0</v>
      </c>
      <c r="D77" s="1">
        <f t="shared" si="3"/>
        <v>0</v>
      </c>
      <c r="E77" s="1">
        <f t="shared" si="4"/>
        <v>0</v>
      </c>
    </row>
    <row r="78" spans="1:5">
      <c r="A78">
        <f t="shared" si="0"/>
        <v>65</v>
      </c>
      <c r="B78" s="1">
        <f t="shared" si="1"/>
        <v>0</v>
      </c>
      <c r="C78" s="1">
        <f t="shared" si="2"/>
        <v>0</v>
      </c>
      <c r="D78" s="1">
        <f t="shared" si="3"/>
        <v>0</v>
      </c>
      <c r="E78" s="1">
        <f t="shared" si="4"/>
        <v>0</v>
      </c>
    </row>
    <row r="79" spans="1:5">
      <c r="A79">
        <f t="shared" si="0"/>
        <v>66</v>
      </c>
      <c r="B79" s="1">
        <f t="shared" si="1"/>
        <v>0</v>
      </c>
      <c r="C79" s="1">
        <f t="shared" si="2"/>
        <v>0</v>
      </c>
      <c r="D79" s="1">
        <f t="shared" si="3"/>
        <v>0</v>
      </c>
      <c r="E79" s="1">
        <f t="shared" si="4"/>
        <v>0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0</v>
      </c>
      <c r="C80" s="1">
        <f t="shared" ref="C80:C143" si="7">IF(A80="","",B80-D80)</f>
        <v>0</v>
      </c>
      <c r="D80" s="1">
        <f t="shared" ref="D80:D143" si="8">IF(A80="","",(E79*($B$6/$B$8)))</f>
        <v>0</v>
      </c>
      <c r="E80" s="1">
        <f t="shared" ref="E80:E143" si="9">IF(A80="","",E79-C80)</f>
        <v>0</v>
      </c>
    </row>
    <row r="81" spans="1:5">
      <c r="A81">
        <f t="shared" si="5"/>
        <v>68</v>
      </c>
      <c r="B81" s="1">
        <f t="shared" si="6"/>
        <v>0</v>
      </c>
      <c r="C81" s="1">
        <f t="shared" si="7"/>
        <v>0</v>
      </c>
      <c r="D81" s="1">
        <f t="shared" si="8"/>
        <v>0</v>
      </c>
      <c r="E81" s="1">
        <f t="shared" si="9"/>
        <v>0</v>
      </c>
    </row>
    <row r="82" spans="1:5">
      <c r="A82">
        <f t="shared" si="5"/>
        <v>69</v>
      </c>
      <c r="B82" s="1">
        <f t="shared" si="6"/>
        <v>0</v>
      </c>
      <c r="C82" s="1">
        <f t="shared" si="7"/>
        <v>0</v>
      </c>
      <c r="D82" s="1">
        <f t="shared" si="8"/>
        <v>0</v>
      </c>
      <c r="E82" s="1">
        <f t="shared" si="9"/>
        <v>0</v>
      </c>
    </row>
    <row r="83" spans="1:5">
      <c r="A83">
        <f t="shared" si="5"/>
        <v>70</v>
      </c>
      <c r="B83" s="1">
        <f t="shared" si="6"/>
        <v>0</v>
      </c>
      <c r="C83" s="1">
        <f t="shared" si="7"/>
        <v>0</v>
      </c>
      <c r="D83" s="1">
        <f t="shared" si="8"/>
        <v>0</v>
      </c>
      <c r="E83" s="1">
        <f t="shared" si="9"/>
        <v>0</v>
      </c>
    </row>
    <row r="84" spans="1:5">
      <c r="A84">
        <f t="shared" si="5"/>
        <v>71</v>
      </c>
      <c r="B84" s="1">
        <f t="shared" si="6"/>
        <v>0</v>
      </c>
      <c r="C84" s="1">
        <f t="shared" si="7"/>
        <v>0</v>
      </c>
      <c r="D84" s="1">
        <f t="shared" si="8"/>
        <v>0</v>
      </c>
      <c r="E84" s="1">
        <f t="shared" si="9"/>
        <v>0</v>
      </c>
    </row>
    <row r="85" spans="1:5">
      <c r="A85">
        <f t="shared" si="5"/>
        <v>72</v>
      </c>
      <c r="B85" s="1">
        <f t="shared" si="6"/>
        <v>0</v>
      </c>
      <c r="C85" s="1">
        <f t="shared" si="7"/>
        <v>0</v>
      </c>
      <c r="D85" s="1">
        <f t="shared" si="8"/>
        <v>0</v>
      </c>
      <c r="E85" s="1">
        <f t="shared" si="9"/>
        <v>0</v>
      </c>
    </row>
    <row r="86" spans="1:5">
      <c r="A86">
        <f t="shared" si="5"/>
        <v>73</v>
      </c>
      <c r="B86" s="1">
        <f t="shared" si="6"/>
        <v>0</v>
      </c>
      <c r="C86" s="1">
        <f t="shared" si="7"/>
        <v>0</v>
      </c>
      <c r="D86" s="1">
        <f t="shared" si="8"/>
        <v>0</v>
      </c>
      <c r="E86" s="1">
        <f t="shared" si="9"/>
        <v>0</v>
      </c>
    </row>
    <row r="87" spans="1:5">
      <c r="A87">
        <f t="shared" si="5"/>
        <v>74</v>
      </c>
      <c r="B87" s="1">
        <f t="shared" si="6"/>
        <v>0</v>
      </c>
      <c r="C87" s="1">
        <f t="shared" si="7"/>
        <v>0</v>
      </c>
      <c r="D87" s="1">
        <f t="shared" si="8"/>
        <v>0</v>
      </c>
      <c r="E87" s="1">
        <f t="shared" si="9"/>
        <v>0</v>
      </c>
    </row>
    <row r="88" spans="1:5">
      <c r="A88">
        <f t="shared" si="5"/>
        <v>75</v>
      </c>
      <c r="B88" s="1">
        <f t="shared" si="6"/>
        <v>0</v>
      </c>
      <c r="C88" s="1">
        <f t="shared" si="7"/>
        <v>0</v>
      </c>
      <c r="D88" s="1">
        <f t="shared" si="8"/>
        <v>0</v>
      </c>
      <c r="E88" s="1">
        <f t="shared" si="9"/>
        <v>0</v>
      </c>
    </row>
    <row r="89" spans="1:5">
      <c r="A89">
        <f t="shared" si="5"/>
        <v>76</v>
      </c>
      <c r="B89" s="1">
        <f t="shared" si="6"/>
        <v>0</v>
      </c>
      <c r="C89" s="1">
        <f t="shared" si="7"/>
        <v>0</v>
      </c>
      <c r="D89" s="1">
        <f t="shared" si="8"/>
        <v>0</v>
      </c>
      <c r="E89" s="1">
        <f t="shared" si="9"/>
        <v>0</v>
      </c>
    </row>
    <row r="90" spans="1:5">
      <c r="A90">
        <f t="shared" si="5"/>
        <v>77</v>
      </c>
      <c r="B90" s="1">
        <f t="shared" si="6"/>
        <v>0</v>
      </c>
      <c r="C90" s="1">
        <f t="shared" si="7"/>
        <v>0</v>
      </c>
      <c r="D90" s="1">
        <f t="shared" si="8"/>
        <v>0</v>
      </c>
      <c r="E90" s="1">
        <f t="shared" si="9"/>
        <v>0</v>
      </c>
    </row>
    <row r="91" spans="1:5">
      <c r="A91">
        <f t="shared" si="5"/>
        <v>78</v>
      </c>
      <c r="B91" s="1">
        <f t="shared" si="6"/>
        <v>0</v>
      </c>
      <c r="C91" s="1">
        <f t="shared" si="7"/>
        <v>0</v>
      </c>
      <c r="D91" s="1">
        <f t="shared" si="8"/>
        <v>0</v>
      </c>
      <c r="E91" s="1">
        <f t="shared" si="9"/>
        <v>0</v>
      </c>
    </row>
    <row r="92" spans="1:5">
      <c r="A92">
        <f t="shared" si="5"/>
        <v>79</v>
      </c>
      <c r="B92" s="1">
        <f t="shared" si="6"/>
        <v>0</v>
      </c>
      <c r="C92" s="1">
        <f t="shared" si="7"/>
        <v>0</v>
      </c>
      <c r="D92" s="1">
        <f t="shared" si="8"/>
        <v>0</v>
      </c>
      <c r="E92" s="1">
        <f t="shared" si="9"/>
        <v>0</v>
      </c>
    </row>
    <row r="93" spans="1:5">
      <c r="A93">
        <f t="shared" si="5"/>
        <v>80</v>
      </c>
      <c r="B93" s="1">
        <f t="shared" si="6"/>
        <v>0</v>
      </c>
      <c r="C93" s="1">
        <f t="shared" si="7"/>
        <v>0</v>
      </c>
      <c r="D93" s="1">
        <f t="shared" si="8"/>
        <v>0</v>
      </c>
      <c r="E93" s="1">
        <f t="shared" si="9"/>
        <v>0</v>
      </c>
    </row>
    <row r="94" spans="1:5">
      <c r="A94">
        <f t="shared" si="5"/>
        <v>81</v>
      </c>
      <c r="B94" s="1">
        <f t="shared" si="6"/>
        <v>0</v>
      </c>
      <c r="C94" s="1">
        <f t="shared" si="7"/>
        <v>0</v>
      </c>
      <c r="D94" s="1">
        <f t="shared" si="8"/>
        <v>0</v>
      </c>
      <c r="E94" s="1">
        <f t="shared" si="9"/>
        <v>0</v>
      </c>
    </row>
    <row r="95" spans="1:5">
      <c r="A95">
        <f t="shared" si="5"/>
        <v>82</v>
      </c>
      <c r="B95" s="1">
        <f t="shared" si="6"/>
        <v>0</v>
      </c>
      <c r="C95" s="1">
        <f t="shared" si="7"/>
        <v>0</v>
      </c>
      <c r="D95" s="1">
        <f t="shared" si="8"/>
        <v>0</v>
      </c>
      <c r="E95" s="1">
        <f t="shared" si="9"/>
        <v>0</v>
      </c>
    </row>
    <row r="96" spans="1:5">
      <c r="A96">
        <f t="shared" si="5"/>
        <v>83</v>
      </c>
      <c r="B96" s="1">
        <f t="shared" si="6"/>
        <v>0</v>
      </c>
      <c r="C96" s="1">
        <f t="shared" si="7"/>
        <v>0</v>
      </c>
      <c r="D96" s="1">
        <f t="shared" si="8"/>
        <v>0</v>
      </c>
      <c r="E96" s="1">
        <f t="shared" si="9"/>
        <v>0</v>
      </c>
    </row>
    <row r="97" spans="1:5">
      <c r="A97">
        <f t="shared" si="5"/>
        <v>84</v>
      </c>
      <c r="B97" s="1">
        <f t="shared" si="6"/>
        <v>0</v>
      </c>
      <c r="C97" s="1">
        <f t="shared" si="7"/>
        <v>0</v>
      </c>
      <c r="D97" s="1">
        <f t="shared" si="8"/>
        <v>0</v>
      </c>
      <c r="E97" s="1">
        <f t="shared" si="9"/>
        <v>0</v>
      </c>
    </row>
    <row r="98" spans="1:5">
      <c r="A98">
        <f t="shared" si="5"/>
        <v>85</v>
      </c>
      <c r="B98" s="1">
        <f t="shared" si="6"/>
        <v>0</v>
      </c>
      <c r="C98" s="1">
        <f t="shared" si="7"/>
        <v>0</v>
      </c>
      <c r="D98" s="1">
        <f t="shared" si="8"/>
        <v>0</v>
      </c>
      <c r="E98" s="1">
        <f t="shared" si="9"/>
        <v>0</v>
      </c>
    </row>
    <row r="99" spans="1:5">
      <c r="A99">
        <f t="shared" si="5"/>
        <v>86</v>
      </c>
      <c r="B99" s="1">
        <f t="shared" si="6"/>
        <v>0</v>
      </c>
      <c r="C99" s="1">
        <f t="shared" si="7"/>
        <v>0</v>
      </c>
      <c r="D99" s="1">
        <f t="shared" si="8"/>
        <v>0</v>
      </c>
      <c r="E99" s="1">
        <f t="shared" si="9"/>
        <v>0</v>
      </c>
    </row>
    <row r="100" spans="1:5">
      <c r="A100">
        <f t="shared" si="5"/>
        <v>87</v>
      </c>
      <c r="B100" s="1">
        <f t="shared" si="6"/>
        <v>0</v>
      </c>
      <c r="C100" s="1">
        <f t="shared" si="7"/>
        <v>0</v>
      </c>
      <c r="D100" s="1">
        <f t="shared" si="8"/>
        <v>0</v>
      </c>
      <c r="E100" s="1">
        <f t="shared" si="9"/>
        <v>0</v>
      </c>
    </row>
    <row r="101" spans="1:5">
      <c r="A101">
        <f t="shared" si="5"/>
        <v>88</v>
      </c>
      <c r="B101" s="1">
        <f t="shared" si="6"/>
        <v>0</v>
      </c>
      <c r="C101" s="1">
        <f t="shared" si="7"/>
        <v>0</v>
      </c>
      <c r="D101" s="1">
        <f t="shared" si="8"/>
        <v>0</v>
      </c>
      <c r="E101" s="1">
        <f t="shared" si="9"/>
        <v>0</v>
      </c>
    </row>
    <row r="102" spans="1:5">
      <c r="A102">
        <f t="shared" si="5"/>
        <v>89</v>
      </c>
      <c r="B102" s="1">
        <f t="shared" si="6"/>
        <v>0</v>
      </c>
      <c r="C102" s="1">
        <f t="shared" si="7"/>
        <v>0</v>
      </c>
      <c r="D102" s="1">
        <f t="shared" si="8"/>
        <v>0</v>
      </c>
      <c r="E102" s="1">
        <f t="shared" si="9"/>
        <v>0</v>
      </c>
    </row>
    <row r="103" spans="1:5">
      <c r="A103">
        <f t="shared" si="5"/>
        <v>90</v>
      </c>
      <c r="B103" s="1">
        <f t="shared" si="6"/>
        <v>0</v>
      </c>
      <c r="C103" s="1">
        <f t="shared" si="7"/>
        <v>0</v>
      </c>
      <c r="D103" s="1">
        <f t="shared" si="8"/>
        <v>0</v>
      </c>
      <c r="E103" s="1">
        <f t="shared" si="9"/>
        <v>0</v>
      </c>
    </row>
    <row r="104" spans="1:5">
      <c r="A104">
        <f t="shared" si="5"/>
        <v>91</v>
      </c>
      <c r="B104" s="1">
        <f t="shared" si="6"/>
        <v>0</v>
      </c>
      <c r="C104" s="1">
        <f t="shared" si="7"/>
        <v>0</v>
      </c>
      <c r="D104" s="1">
        <f t="shared" si="8"/>
        <v>0</v>
      </c>
      <c r="E104" s="1">
        <f t="shared" si="9"/>
        <v>0</v>
      </c>
    </row>
    <row r="105" spans="1:5">
      <c r="A105">
        <f t="shared" si="5"/>
        <v>92</v>
      </c>
      <c r="B105" s="1">
        <f t="shared" si="6"/>
        <v>0</v>
      </c>
      <c r="C105" s="1">
        <f t="shared" si="7"/>
        <v>0</v>
      </c>
      <c r="D105" s="1">
        <f t="shared" si="8"/>
        <v>0</v>
      </c>
      <c r="E105" s="1">
        <f t="shared" si="9"/>
        <v>0</v>
      </c>
    </row>
    <row r="106" spans="1:5">
      <c r="A106">
        <f t="shared" si="5"/>
        <v>93</v>
      </c>
      <c r="B106" s="1">
        <f t="shared" si="6"/>
        <v>0</v>
      </c>
      <c r="C106" s="1">
        <f t="shared" si="7"/>
        <v>0</v>
      </c>
      <c r="D106" s="1">
        <f t="shared" si="8"/>
        <v>0</v>
      </c>
      <c r="E106" s="1">
        <f t="shared" si="9"/>
        <v>0</v>
      </c>
    </row>
    <row r="107" spans="1:5">
      <c r="A107">
        <f t="shared" si="5"/>
        <v>94</v>
      </c>
      <c r="B107" s="1">
        <f t="shared" si="6"/>
        <v>0</v>
      </c>
      <c r="C107" s="1">
        <f t="shared" si="7"/>
        <v>0</v>
      </c>
      <c r="D107" s="1">
        <f t="shared" si="8"/>
        <v>0</v>
      </c>
      <c r="E107" s="1">
        <f t="shared" si="9"/>
        <v>0</v>
      </c>
    </row>
    <row r="108" spans="1:5">
      <c r="A108">
        <f t="shared" si="5"/>
        <v>95</v>
      </c>
      <c r="B108" s="1">
        <f t="shared" si="6"/>
        <v>0</v>
      </c>
      <c r="C108" s="1">
        <f t="shared" si="7"/>
        <v>0</v>
      </c>
      <c r="D108" s="1">
        <f t="shared" si="8"/>
        <v>0</v>
      </c>
      <c r="E108" s="1">
        <f t="shared" si="9"/>
        <v>0</v>
      </c>
    </row>
    <row r="109" spans="1:5">
      <c r="A109">
        <f t="shared" si="5"/>
        <v>96</v>
      </c>
      <c r="B109" s="1">
        <f t="shared" si="6"/>
        <v>0</v>
      </c>
      <c r="C109" s="1">
        <f t="shared" si="7"/>
        <v>0</v>
      </c>
      <c r="D109" s="1">
        <f t="shared" si="8"/>
        <v>0</v>
      </c>
      <c r="E109" s="1">
        <f t="shared" si="9"/>
        <v>0</v>
      </c>
    </row>
    <row r="110" spans="1:5">
      <c r="A110">
        <f t="shared" si="5"/>
        <v>97</v>
      </c>
      <c r="B110" s="1">
        <f t="shared" si="6"/>
        <v>0</v>
      </c>
      <c r="C110" s="1">
        <f t="shared" si="7"/>
        <v>0</v>
      </c>
      <c r="D110" s="1">
        <f t="shared" si="8"/>
        <v>0</v>
      </c>
      <c r="E110" s="1">
        <f t="shared" si="9"/>
        <v>0</v>
      </c>
    </row>
    <row r="111" spans="1:5">
      <c r="A111">
        <f t="shared" si="5"/>
        <v>98</v>
      </c>
      <c r="B111" s="1">
        <f t="shared" si="6"/>
        <v>0</v>
      </c>
      <c r="C111" s="1">
        <f t="shared" si="7"/>
        <v>0</v>
      </c>
      <c r="D111" s="1">
        <f t="shared" si="8"/>
        <v>0</v>
      </c>
      <c r="E111" s="1">
        <f t="shared" si="9"/>
        <v>0</v>
      </c>
    </row>
    <row r="112" spans="1:5">
      <c r="A112">
        <f t="shared" si="5"/>
        <v>99</v>
      </c>
      <c r="B112" s="1">
        <f t="shared" si="6"/>
        <v>0</v>
      </c>
      <c r="C112" s="1">
        <f t="shared" si="7"/>
        <v>0</v>
      </c>
      <c r="D112" s="1">
        <f t="shared" si="8"/>
        <v>0</v>
      </c>
      <c r="E112" s="1">
        <f t="shared" si="9"/>
        <v>0</v>
      </c>
    </row>
    <row r="113" spans="1:5">
      <c r="A113">
        <f t="shared" si="5"/>
        <v>100</v>
      </c>
      <c r="B113" s="1">
        <f t="shared" si="6"/>
        <v>0</v>
      </c>
      <c r="C113" s="1">
        <f t="shared" si="7"/>
        <v>0</v>
      </c>
      <c r="D113" s="1">
        <f t="shared" si="8"/>
        <v>0</v>
      </c>
      <c r="E113" s="1">
        <f t="shared" si="9"/>
        <v>0</v>
      </c>
    </row>
    <row r="114" spans="1:5">
      <c r="A114">
        <f t="shared" si="5"/>
        <v>101</v>
      </c>
      <c r="B114" s="1">
        <f t="shared" si="6"/>
        <v>0</v>
      </c>
      <c r="C114" s="1">
        <f t="shared" si="7"/>
        <v>0</v>
      </c>
      <c r="D114" s="1">
        <f t="shared" si="8"/>
        <v>0</v>
      </c>
      <c r="E114" s="1">
        <f t="shared" si="9"/>
        <v>0</v>
      </c>
    </row>
    <row r="115" spans="1:5">
      <c r="A115">
        <f t="shared" si="5"/>
        <v>102</v>
      </c>
      <c r="B115" s="1">
        <f t="shared" si="6"/>
        <v>0</v>
      </c>
      <c r="C115" s="1">
        <f t="shared" si="7"/>
        <v>0</v>
      </c>
      <c r="D115" s="1">
        <f t="shared" si="8"/>
        <v>0</v>
      </c>
      <c r="E115" s="1">
        <f t="shared" si="9"/>
        <v>0</v>
      </c>
    </row>
    <row r="116" spans="1:5">
      <c r="A116">
        <f t="shared" si="5"/>
        <v>103</v>
      </c>
      <c r="B116" s="1">
        <f t="shared" si="6"/>
        <v>0</v>
      </c>
      <c r="C116" s="1">
        <f t="shared" si="7"/>
        <v>0</v>
      </c>
      <c r="D116" s="1">
        <f t="shared" si="8"/>
        <v>0</v>
      </c>
      <c r="E116" s="1">
        <f t="shared" si="9"/>
        <v>0</v>
      </c>
    </row>
    <row r="117" spans="1:5">
      <c r="A117">
        <f t="shared" si="5"/>
        <v>104</v>
      </c>
      <c r="B117" s="1">
        <f t="shared" si="6"/>
        <v>0</v>
      </c>
      <c r="C117" s="1">
        <f t="shared" si="7"/>
        <v>0</v>
      </c>
      <c r="D117" s="1">
        <f t="shared" si="8"/>
        <v>0</v>
      </c>
      <c r="E117" s="1">
        <f t="shared" si="9"/>
        <v>0</v>
      </c>
    </row>
    <row r="118" spans="1:5">
      <c r="A118">
        <f t="shared" si="5"/>
        <v>105</v>
      </c>
      <c r="B118" s="1">
        <f t="shared" si="6"/>
        <v>0</v>
      </c>
      <c r="C118" s="1">
        <f t="shared" si="7"/>
        <v>0</v>
      </c>
      <c r="D118" s="1">
        <f t="shared" si="8"/>
        <v>0</v>
      </c>
      <c r="E118" s="1">
        <f t="shared" si="9"/>
        <v>0</v>
      </c>
    </row>
    <row r="119" spans="1:5">
      <c r="A119">
        <f t="shared" si="5"/>
        <v>106</v>
      </c>
      <c r="B119" s="1">
        <f t="shared" si="6"/>
        <v>0</v>
      </c>
      <c r="C119" s="1">
        <f t="shared" si="7"/>
        <v>0</v>
      </c>
      <c r="D119" s="1">
        <f t="shared" si="8"/>
        <v>0</v>
      </c>
      <c r="E119" s="1">
        <f t="shared" si="9"/>
        <v>0</v>
      </c>
    </row>
    <row r="120" spans="1:5">
      <c r="A120">
        <f t="shared" si="5"/>
        <v>107</v>
      </c>
      <c r="B120" s="1">
        <f t="shared" si="6"/>
        <v>0</v>
      </c>
      <c r="C120" s="1">
        <f t="shared" si="7"/>
        <v>0</v>
      </c>
      <c r="D120" s="1">
        <f t="shared" si="8"/>
        <v>0</v>
      </c>
      <c r="E120" s="1">
        <f t="shared" si="9"/>
        <v>0</v>
      </c>
    </row>
    <row r="121" spans="1:5">
      <c r="A121">
        <f t="shared" si="5"/>
        <v>108</v>
      </c>
      <c r="B121" s="1">
        <f t="shared" si="6"/>
        <v>0</v>
      </c>
      <c r="C121" s="1">
        <f t="shared" si="7"/>
        <v>0</v>
      </c>
      <c r="D121" s="1">
        <f t="shared" si="8"/>
        <v>0</v>
      </c>
      <c r="E121" s="1">
        <f t="shared" si="9"/>
        <v>0</v>
      </c>
    </row>
    <row r="122" spans="1:5">
      <c r="A122">
        <f t="shared" si="5"/>
        <v>109</v>
      </c>
      <c r="B122" s="1">
        <f t="shared" si="6"/>
        <v>0</v>
      </c>
      <c r="C122" s="1">
        <f t="shared" si="7"/>
        <v>0</v>
      </c>
      <c r="D122" s="1">
        <f t="shared" si="8"/>
        <v>0</v>
      </c>
      <c r="E122" s="1">
        <f t="shared" si="9"/>
        <v>0</v>
      </c>
    </row>
    <row r="123" spans="1:5">
      <c r="A123">
        <f t="shared" si="5"/>
        <v>110</v>
      </c>
      <c r="B123" s="1">
        <f t="shared" si="6"/>
        <v>0</v>
      </c>
      <c r="C123" s="1">
        <f t="shared" si="7"/>
        <v>0</v>
      </c>
      <c r="D123" s="1">
        <f t="shared" si="8"/>
        <v>0</v>
      </c>
      <c r="E123" s="1">
        <f t="shared" si="9"/>
        <v>0</v>
      </c>
    </row>
    <row r="124" spans="1:5">
      <c r="A124">
        <f t="shared" si="5"/>
        <v>111</v>
      </c>
      <c r="B124" s="1">
        <f t="shared" si="6"/>
        <v>0</v>
      </c>
      <c r="C124" s="1">
        <f t="shared" si="7"/>
        <v>0</v>
      </c>
      <c r="D124" s="1">
        <f t="shared" si="8"/>
        <v>0</v>
      </c>
      <c r="E124" s="1">
        <f t="shared" si="9"/>
        <v>0</v>
      </c>
    </row>
    <row r="125" spans="1:5">
      <c r="A125">
        <f t="shared" si="5"/>
        <v>112</v>
      </c>
      <c r="B125" s="1">
        <f t="shared" si="6"/>
        <v>0</v>
      </c>
      <c r="C125" s="1">
        <f t="shared" si="7"/>
        <v>0</v>
      </c>
      <c r="D125" s="1">
        <f t="shared" si="8"/>
        <v>0</v>
      </c>
      <c r="E125" s="1">
        <f t="shared" si="9"/>
        <v>0</v>
      </c>
    </row>
    <row r="126" spans="1:5">
      <c r="A126">
        <f t="shared" si="5"/>
        <v>113</v>
      </c>
      <c r="B126" s="1">
        <f t="shared" si="6"/>
        <v>0</v>
      </c>
      <c r="C126" s="1">
        <f t="shared" si="7"/>
        <v>0</v>
      </c>
      <c r="D126" s="1">
        <f t="shared" si="8"/>
        <v>0</v>
      </c>
      <c r="E126" s="1">
        <f t="shared" si="9"/>
        <v>0</v>
      </c>
    </row>
    <row r="127" spans="1:5">
      <c r="A127">
        <f t="shared" si="5"/>
        <v>114</v>
      </c>
      <c r="B127" s="1">
        <f t="shared" si="6"/>
        <v>0</v>
      </c>
      <c r="C127" s="1">
        <f t="shared" si="7"/>
        <v>0</v>
      </c>
      <c r="D127" s="1">
        <f t="shared" si="8"/>
        <v>0</v>
      </c>
      <c r="E127" s="1">
        <f t="shared" si="9"/>
        <v>0</v>
      </c>
    </row>
    <row r="128" spans="1:5">
      <c r="A128">
        <f t="shared" si="5"/>
        <v>115</v>
      </c>
      <c r="B128" s="1">
        <f t="shared" si="6"/>
        <v>0</v>
      </c>
      <c r="C128" s="1">
        <f t="shared" si="7"/>
        <v>0</v>
      </c>
      <c r="D128" s="1">
        <f t="shared" si="8"/>
        <v>0</v>
      </c>
      <c r="E128" s="1">
        <f t="shared" si="9"/>
        <v>0</v>
      </c>
    </row>
    <row r="129" spans="1:5">
      <c r="A129">
        <f t="shared" si="5"/>
        <v>116</v>
      </c>
      <c r="B129" s="1">
        <f t="shared" si="6"/>
        <v>0</v>
      </c>
      <c r="C129" s="1">
        <f t="shared" si="7"/>
        <v>0</v>
      </c>
      <c r="D129" s="1">
        <f t="shared" si="8"/>
        <v>0</v>
      </c>
      <c r="E129" s="1">
        <f t="shared" si="9"/>
        <v>0</v>
      </c>
    </row>
    <row r="130" spans="1:5">
      <c r="A130">
        <f t="shared" si="5"/>
        <v>117</v>
      </c>
      <c r="B130" s="1">
        <f t="shared" si="6"/>
        <v>0</v>
      </c>
      <c r="C130" s="1">
        <f t="shared" si="7"/>
        <v>0</v>
      </c>
      <c r="D130" s="1">
        <f t="shared" si="8"/>
        <v>0</v>
      </c>
      <c r="E130" s="1">
        <f t="shared" si="9"/>
        <v>0</v>
      </c>
    </row>
    <row r="131" spans="1:5">
      <c r="A131">
        <f t="shared" si="5"/>
        <v>118</v>
      </c>
      <c r="B131" s="1">
        <f t="shared" si="6"/>
        <v>0</v>
      </c>
      <c r="C131" s="1">
        <f t="shared" si="7"/>
        <v>0</v>
      </c>
      <c r="D131" s="1">
        <f t="shared" si="8"/>
        <v>0</v>
      </c>
      <c r="E131" s="1">
        <f t="shared" si="9"/>
        <v>0</v>
      </c>
    </row>
    <row r="132" spans="1:5">
      <c r="A132">
        <f t="shared" si="5"/>
        <v>119</v>
      </c>
      <c r="B132" s="1">
        <f t="shared" si="6"/>
        <v>0</v>
      </c>
      <c r="C132" s="1">
        <f t="shared" si="7"/>
        <v>0</v>
      </c>
      <c r="D132" s="1">
        <f t="shared" si="8"/>
        <v>0</v>
      </c>
      <c r="E132" s="1">
        <f t="shared" si="9"/>
        <v>0</v>
      </c>
    </row>
    <row r="133" spans="1:5">
      <c r="A133">
        <f t="shared" si="5"/>
        <v>120</v>
      </c>
      <c r="B133" s="1">
        <f t="shared" si="6"/>
        <v>0</v>
      </c>
      <c r="C133" s="1">
        <f t="shared" si="7"/>
        <v>0</v>
      </c>
      <c r="D133" s="1">
        <f t="shared" si="8"/>
        <v>0</v>
      </c>
      <c r="E133" s="1">
        <f t="shared" si="9"/>
        <v>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X4" sqref="X4"/>
    </sheetView>
  </sheetViews>
  <sheetFormatPr defaultRowHeight="15"/>
  <cols>
    <col min="5" max="5" width="19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V7" sqref="V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1929500.2125479456</v>
      </c>
      <c r="H7" s="94">
        <f>'Profit and Loss Statement'!F21/'Profit and Loss Statement'!F8</f>
        <v>2039885.4714958905</v>
      </c>
      <c r="I7" s="94">
        <f>'Profit and Loss Statement'!G21/'Profit and Loss Statement'!G8</f>
        <v>2154043.6092613698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1929500.2125479456</v>
      </c>
      <c r="H11" s="114">
        <f t="shared" ref="H11:K11" si="0">H7</f>
        <v>2039885.4714958905</v>
      </c>
      <c r="I11" s="114">
        <f t="shared" si="0"/>
        <v>2154043.6092613698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7" sqref="W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0.52142857142857135</v>
      </c>
      <c r="G9" s="104">
        <f>'Profit and Loss Statement'!F8</f>
        <v>0.52142857142857146</v>
      </c>
      <c r="H9" s="101">
        <f>'Profit and Loss Statement'!G8</f>
        <v>0.52142857142857135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8.4960929032045246E-2</v>
      </c>
      <c r="G12" s="101">
        <f>'Profit and Loss Statement'!F28/'Profit and Loss Statement'!F6</f>
        <v>0.1184495866570643</v>
      </c>
      <c r="H12" s="101">
        <f>'Profit and Loss Statement'!G28/'Profit and Loss Statement'!G6</f>
        <v>0.13875167785578732</v>
      </c>
      <c r="I12" s="129"/>
      <c r="J12" s="129"/>
    </row>
    <row r="13" spans="5:10">
      <c r="E13" s="66" t="s">
        <v>92</v>
      </c>
      <c r="F13" s="105">
        <f>'Balance Sheet'!E10/'Balance Sheet'!E15</f>
        <v>86.344031242</v>
      </c>
      <c r="G13" s="105">
        <f>'Balance Sheet'!F10/'Balance Sheet'!F15</f>
        <v>59.704164190957101</v>
      </c>
      <c r="H13" s="105">
        <f>'Balance Sheet'!G10/'Balance Sheet'!G15</f>
        <v>54.713596288402385</v>
      </c>
      <c r="I13" s="130"/>
      <c r="J13" s="130"/>
    </row>
    <row r="14" spans="5:10">
      <c r="E14" s="66" t="s">
        <v>93</v>
      </c>
      <c r="F14" s="105">
        <f>'Balance Sheet'!E17/'Balance Sheet'!E15</f>
        <v>85.344031242</v>
      </c>
      <c r="G14" s="105">
        <f>'Balance Sheet'!F17/'Balance Sheet'!F15</f>
        <v>58.704164190957101</v>
      </c>
      <c r="H14" s="105">
        <f>'Balance Sheet'!G17/'Balance Sheet'!G15</f>
        <v>53.713596288402385</v>
      </c>
      <c r="I14" s="130"/>
      <c r="J14" s="130"/>
    </row>
    <row r="15" spans="5:10">
      <c r="E15" s="66" t="s">
        <v>94</v>
      </c>
      <c r="F15" s="105">
        <f>'Balance Sheet'!E10/'Balance Sheet'!E17</f>
        <v>1.0117172810499708</v>
      </c>
      <c r="G15" s="105">
        <f>'Balance Sheet'!F10/'Balance Sheet'!F17</f>
        <v>1.017034566691847</v>
      </c>
      <c r="H15" s="105">
        <f>'Balance Sheet'!G10/'Balance Sheet'!G17</f>
        <v>1.0186172602301797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0.95243832598970579</v>
      </c>
      <c r="G18" s="105">
        <f>'Balance Sheet'!F7/'Balance Sheet'!F10</f>
        <v>0.94922013224710067</v>
      </c>
      <c r="H18" s="105">
        <f>'Balance Sheet'!G7/'Balance Sheet'!G10</f>
        <v>0.93887125879727429</v>
      </c>
      <c r="I18" s="130"/>
      <c r="J18" s="130"/>
    </row>
    <row r="19" spans="5:10">
      <c r="E19" s="66" t="s">
        <v>96</v>
      </c>
      <c r="F19" s="105">
        <f>'Balance Sheet'!E7/'Balance Sheet'!E15</f>
        <v>82.237364575333331</v>
      </c>
      <c r="G19" s="105">
        <f>'Balance Sheet'!F7/'Balance Sheet'!F15</f>
        <v>56.672394629042905</v>
      </c>
      <c r="H19" s="105">
        <f>'Balance Sheet'!G7/'Balance Sheet'!G15</f>
        <v>51.369023020618222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:D28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125000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118</v>
      </c>
      <c r="C6" s="14">
        <v>85000</v>
      </c>
      <c r="G6" s="4" t="str">
        <f>B5</f>
        <v>Senior Management</v>
      </c>
      <c r="H6" s="14">
        <f t="shared" ref="H6:H15" si="0">H18*C5</f>
        <v>125000</v>
      </c>
      <c r="I6" s="14">
        <f t="shared" ref="I6:I15" si="1">D58*I18</f>
        <v>128750</v>
      </c>
      <c r="J6" s="14">
        <f t="shared" ref="J6:J15" si="2">E58*J18</f>
        <v>132612.5</v>
      </c>
      <c r="M6" s="118"/>
      <c r="N6" s="118"/>
    </row>
    <row r="7" spans="2:14">
      <c r="B7" s="4" t="s">
        <v>129</v>
      </c>
      <c r="C7" s="14">
        <v>65000</v>
      </c>
      <c r="G7" s="4" t="str">
        <f>B6</f>
        <v>Operational Managers</v>
      </c>
      <c r="H7" s="14">
        <f t="shared" si="0"/>
        <v>170000</v>
      </c>
      <c r="I7" s="14">
        <f t="shared" si="1"/>
        <v>175100</v>
      </c>
      <c r="J7" s="14">
        <f t="shared" si="2"/>
        <v>180353</v>
      </c>
      <c r="M7" s="118"/>
      <c r="N7" s="118"/>
    </row>
    <row r="8" spans="2:14">
      <c r="B8" s="4" t="s">
        <v>130</v>
      </c>
      <c r="C8" s="14">
        <v>50000</v>
      </c>
      <c r="G8" s="4" t="str">
        <f>B7</f>
        <v>Staff Agents</v>
      </c>
      <c r="H8" s="14">
        <f t="shared" si="0"/>
        <v>260000</v>
      </c>
      <c r="I8" s="14">
        <f t="shared" si="1"/>
        <v>267800</v>
      </c>
      <c r="J8" s="14">
        <f t="shared" si="2"/>
        <v>275834</v>
      </c>
      <c r="M8" s="118"/>
      <c r="N8" s="118"/>
    </row>
    <row r="9" spans="2:14">
      <c r="B9" s="4" t="s">
        <v>131</v>
      </c>
      <c r="C9" s="14">
        <v>65000</v>
      </c>
      <c r="G9" s="4" t="str">
        <f>B8</f>
        <v>Administrative Staff</v>
      </c>
      <c r="H9" s="14">
        <f t="shared" si="0"/>
        <v>100000</v>
      </c>
      <c r="I9" s="14">
        <f t="shared" si="1"/>
        <v>103000</v>
      </c>
      <c r="J9" s="14">
        <f t="shared" si="2"/>
        <v>106090</v>
      </c>
      <c r="M9" s="118"/>
      <c r="N9" s="118"/>
    </row>
    <row r="10" spans="2:14">
      <c r="B10" s="4" t="s">
        <v>120</v>
      </c>
      <c r="C10" s="14">
        <v>0</v>
      </c>
      <c r="G10" s="4" t="str">
        <f>B9</f>
        <v>Accounting Staff</v>
      </c>
      <c r="H10" s="14">
        <f t="shared" si="0"/>
        <v>65000</v>
      </c>
      <c r="I10" s="14">
        <f t="shared" si="1"/>
        <v>66950</v>
      </c>
      <c r="J10" s="14">
        <f t="shared" si="2"/>
        <v>68958.5</v>
      </c>
      <c r="M10" s="118"/>
      <c r="N10" s="118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137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124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720000</v>
      </c>
      <c r="I16" s="9">
        <f t="shared" ref="I16:J16" si="3">SUM(I6:I15)</f>
        <v>741600</v>
      </c>
      <c r="J16" s="9">
        <f t="shared" si="3"/>
        <v>763848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2</v>
      </c>
      <c r="I19" s="4">
        <f t="shared" si="5"/>
        <v>2</v>
      </c>
      <c r="J19" s="4">
        <f t="shared" si="6"/>
        <v>2</v>
      </c>
      <c r="M19" s="30"/>
      <c r="N19" s="30"/>
    </row>
    <row r="20" spans="2:20">
      <c r="G20" s="4" t="str">
        <f>G8</f>
        <v>Staff Agents</v>
      </c>
      <c r="H20" s="4">
        <f t="shared" si="4"/>
        <v>4</v>
      </c>
      <c r="I20" s="4">
        <f t="shared" si="5"/>
        <v>4</v>
      </c>
      <c r="J20" s="4">
        <f t="shared" si="6"/>
        <v>4</v>
      </c>
      <c r="M20" s="30"/>
      <c r="N20" s="30"/>
    </row>
    <row r="21" spans="2:20">
      <c r="G21" s="4" t="str">
        <f>G9</f>
        <v>Administrative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Accounting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2</v>
      </c>
      <c r="D25" s="5">
        <v>2</v>
      </c>
      <c r="E25" s="5">
        <v>2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Staff Agents</v>
      </c>
      <c r="C26" s="5">
        <v>4</v>
      </c>
      <c r="D26" s="5">
        <v>4</v>
      </c>
      <c r="E26" s="5">
        <v>4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Administrative Staff</v>
      </c>
      <c r="C27" s="5">
        <v>2</v>
      </c>
      <c r="D27" s="5">
        <v>2</v>
      </c>
      <c r="E27" s="5">
        <v>2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Accounting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10</v>
      </c>
      <c r="I28" s="10">
        <f t="shared" ref="I28:J28" si="8">SUM(I18:I27)</f>
        <v>10</v>
      </c>
      <c r="J28" s="10">
        <f t="shared" si="8"/>
        <v>10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120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121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122</v>
      </c>
      <c r="C31" s="5"/>
      <c r="D31" s="5"/>
      <c r="E31" s="5"/>
      <c r="L31" s="112" t="str">
        <f>G6</f>
        <v>Senior Management</v>
      </c>
      <c r="M31" s="113">
        <f>J6/$J$16</f>
        <v>0.1736111111111111</v>
      </c>
      <c r="O31" s="115"/>
      <c r="P31" s="115"/>
      <c r="Q31" s="115"/>
      <c r="R31" s="115"/>
      <c r="S31" s="115"/>
      <c r="T31" s="115"/>
    </row>
    <row r="32" spans="2:20">
      <c r="B32" s="15" t="s">
        <v>123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0.2361111111111111</v>
      </c>
      <c r="O32" s="115"/>
      <c r="P32" s="115"/>
      <c r="Q32" s="115"/>
      <c r="T32" s="115"/>
    </row>
    <row r="33" spans="2:20">
      <c r="B33" s="15" t="s">
        <v>124</v>
      </c>
      <c r="C33" s="5"/>
      <c r="D33" s="5"/>
      <c r="E33" s="5"/>
      <c r="F33" s="30"/>
      <c r="G33" s="30"/>
      <c r="L33" s="112" t="str">
        <f>G8</f>
        <v>Staff Agents</v>
      </c>
      <c r="M33" s="113">
        <f>J8/$J$16</f>
        <v>0.3611111111111111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Administrative Staff</v>
      </c>
      <c r="M34" s="113" t="s">
        <v>138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Accounting Staff</v>
      </c>
      <c r="M35" s="113">
        <f>J10/$J$16</f>
        <v>9.0277777777777776E-2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125000</v>
      </c>
      <c r="D58" s="14">
        <f>C58*(1+$C$53)</f>
        <v>128750</v>
      </c>
      <c r="E58" s="14">
        <f>D58*(1+$C$53)</f>
        <v>132612.5</v>
      </c>
      <c r="F58" s="14">
        <f>E58*(1+$C$53)</f>
        <v>136590.875</v>
      </c>
      <c r="G58" s="14">
        <f>F58*(1+$C$53)</f>
        <v>140688.60125000001</v>
      </c>
    </row>
    <row r="59" spans="2:7">
      <c r="B59" s="4" t="str">
        <f t="shared" ref="B59:C67" si="9">B6</f>
        <v>Operational Managers</v>
      </c>
      <c r="C59" s="14">
        <f t="shared" si="9"/>
        <v>85000</v>
      </c>
      <c r="D59" s="14">
        <f t="shared" ref="D59:G59" si="10">C59*(1+$C$53)</f>
        <v>87550</v>
      </c>
      <c r="E59" s="14">
        <f t="shared" si="10"/>
        <v>90176.5</v>
      </c>
      <c r="F59" s="14">
        <f t="shared" si="10"/>
        <v>92881.794999999998</v>
      </c>
      <c r="G59" s="14">
        <f t="shared" si="10"/>
        <v>95668.248850000004</v>
      </c>
    </row>
    <row r="60" spans="2:7">
      <c r="B60" s="4" t="str">
        <f t="shared" si="9"/>
        <v>Staff Agents</v>
      </c>
      <c r="C60" s="14">
        <f t="shared" si="9"/>
        <v>65000</v>
      </c>
      <c r="D60" s="14">
        <f t="shared" ref="D60:G60" si="11">C60*(1+$C$53)</f>
        <v>66950</v>
      </c>
      <c r="E60" s="14">
        <f t="shared" si="11"/>
        <v>68958.5</v>
      </c>
      <c r="F60" s="14">
        <f t="shared" si="11"/>
        <v>71027.255000000005</v>
      </c>
      <c r="G60" s="14">
        <f t="shared" si="11"/>
        <v>73158.072650000002</v>
      </c>
    </row>
    <row r="61" spans="2:7">
      <c r="B61" s="4" t="str">
        <f t="shared" si="9"/>
        <v>Administrative Staff</v>
      </c>
      <c r="C61" s="14">
        <f t="shared" si="9"/>
        <v>50000</v>
      </c>
      <c r="D61" s="14">
        <f t="shared" ref="D61:G61" si="12">C61*(1+$C$53)</f>
        <v>51500</v>
      </c>
      <c r="E61" s="14">
        <f t="shared" si="12"/>
        <v>53045</v>
      </c>
      <c r="F61" s="14">
        <f t="shared" si="12"/>
        <v>54636.35</v>
      </c>
      <c r="G61" s="14">
        <f t="shared" si="12"/>
        <v>56275.440499999997</v>
      </c>
    </row>
    <row r="62" spans="2:7">
      <c r="B62" s="4" t="str">
        <f t="shared" si="9"/>
        <v>Accounting Staff</v>
      </c>
      <c r="C62" s="14">
        <f t="shared" si="9"/>
        <v>65000</v>
      </c>
      <c r="D62" s="14">
        <f t="shared" ref="D62:G62" si="13">C62*(1+$C$53)</f>
        <v>66950</v>
      </c>
      <c r="E62" s="14">
        <f t="shared" si="13"/>
        <v>68958.5</v>
      </c>
      <c r="F62" s="14">
        <f t="shared" si="13"/>
        <v>71027.255000000005</v>
      </c>
      <c r="G62" s="14">
        <f t="shared" si="13"/>
        <v>73158.072650000002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I51"/>
  <sheetViews>
    <sheetView showGridLines="0" topLeftCell="C1" workbookViewId="0">
      <selection activeCell="D20" sqref="D20"/>
    </sheetView>
  </sheetViews>
  <sheetFormatPr defaultRowHeight="15"/>
  <cols>
    <col min="4" max="4" width="34" customWidth="1"/>
    <col min="5" max="5" width="23" customWidth="1"/>
  </cols>
  <sheetData>
    <row r="5" spans="4:9">
      <c r="D5" s="7" t="s">
        <v>69</v>
      </c>
      <c r="E5" s="3"/>
    </row>
    <row r="6" spans="4:9">
      <c r="D6" s="21" t="s">
        <v>132</v>
      </c>
      <c r="E6" s="6">
        <v>25000</v>
      </c>
    </row>
    <row r="7" spans="4:9">
      <c r="D7" s="21" t="s">
        <v>134</v>
      </c>
      <c r="E7" s="6">
        <v>50000</v>
      </c>
    </row>
    <row r="8" spans="4:9">
      <c r="D8" s="21" t="s">
        <v>133</v>
      </c>
      <c r="E8" s="6">
        <v>85000</v>
      </c>
      <c r="I8" s="112" t="s">
        <v>138</v>
      </c>
    </row>
    <row r="9" spans="4:9">
      <c r="D9" s="21" t="s">
        <v>0</v>
      </c>
      <c r="E9" s="6">
        <v>40000</v>
      </c>
    </row>
    <row r="10" spans="4:9">
      <c r="D10" s="21"/>
      <c r="E10" s="6"/>
    </row>
    <row r="11" spans="4:9">
      <c r="D11" s="21"/>
      <c r="E11" s="6"/>
    </row>
    <row r="12" spans="4:9">
      <c r="D12" s="21"/>
      <c r="E12" s="6"/>
    </row>
    <row r="13" spans="4:9">
      <c r="D13" s="21"/>
      <c r="E13" s="6"/>
    </row>
    <row r="14" spans="4:9">
      <c r="D14" s="21"/>
      <c r="E14" s="6"/>
    </row>
    <row r="15" spans="4:9">
      <c r="D15" s="21"/>
      <c r="E15" s="6"/>
    </row>
    <row r="16" spans="4:9">
      <c r="D16" s="22" t="s">
        <v>8</v>
      </c>
      <c r="E16" s="18">
        <f>SUM(E6:E15)</f>
        <v>200000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200000</v>
      </c>
    </row>
    <row r="22" spans="4:5">
      <c r="D22" s="4" t="s">
        <v>99</v>
      </c>
      <c r="E22" s="14">
        <v>0</v>
      </c>
    </row>
    <row r="23" spans="4:5">
      <c r="D23" s="4" t="s">
        <v>100</v>
      </c>
      <c r="E23" s="14">
        <f>SUM(E21:E22)</f>
        <v>200000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V9" sqref="V9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2546586</v>
      </c>
      <c r="F6" s="69">
        <f>'Revenue Overview'!G16</f>
        <v>3055903.2</v>
      </c>
      <c r="G6" s="81">
        <f>'Revenue Overview'!H16</f>
        <v>3514288.6799999997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1218723.3</v>
      </c>
      <c r="F7" s="71">
        <f>'Revenue Overview'!G31</f>
        <v>1462467.96</v>
      </c>
      <c r="G7" s="80">
        <f>'Revenue Overview'!H31</f>
        <v>1681838.1539999999</v>
      </c>
      <c r="H7" s="137"/>
      <c r="I7" s="137"/>
      <c r="J7" s="115"/>
      <c r="K7" s="112" t="s">
        <v>51</v>
      </c>
      <c r="L7" s="114">
        <f>E6</f>
        <v>2546586</v>
      </c>
      <c r="M7" s="114">
        <f>F6</f>
        <v>3055903.2</v>
      </c>
      <c r="N7" s="114">
        <f>G6</f>
        <v>3514288.6799999997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0.52142857142857135</v>
      </c>
      <c r="F8" s="73">
        <f t="shared" ref="F8:G8" si="0">1-(F7/F6)</f>
        <v>0.52142857142857146</v>
      </c>
      <c r="G8" s="134">
        <f t="shared" si="0"/>
        <v>0.52142857142857135</v>
      </c>
      <c r="H8" s="139"/>
      <c r="I8" s="139"/>
      <c r="J8" s="115"/>
      <c r="K8" s="112" t="s">
        <v>76</v>
      </c>
      <c r="L8" s="114">
        <f>E6</f>
        <v>2546586</v>
      </c>
      <c r="M8" s="114">
        <f>F6</f>
        <v>3055903.2</v>
      </c>
      <c r="N8" s="114">
        <f>G6</f>
        <v>3514288.6799999997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1327862.7</v>
      </c>
      <c r="F10" s="76">
        <f t="shared" ref="F10:G10" si="1">F6-F7</f>
        <v>1593435.2400000002</v>
      </c>
      <c r="G10" s="84">
        <f t="shared" si="1"/>
        <v>1832450.5259999998</v>
      </c>
      <c r="H10" s="136"/>
      <c r="I10" s="136"/>
      <c r="J10" s="115"/>
      <c r="K10" s="112" t="s">
        <v>47</v>
      </c>
      <c r="L10" s="114">
        <f>E23</f>
        <v>321766.16059999994</v>
      </c>
      <c r="M10" s="114">
        <f>F23</f>
        <v>529780.67272000015</v>
      </c>
      <c r="N10" s="114">
        <f>G23</f>
        <v>709270.64402800007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321766.16059999994</v>
      </c>
      <c r="M11" s="114">
        <f t="shared" ref="M11:N11" si="2">M10</f>
        <v>529780.67272000015</v>
      </c>
      <c r="N11" s="114">
        <f t="shared" si="2"/>
        <v>709270.64402800007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720000</v>
      </c>
      <c r="F13" s="78">
        <f>'Personnel - Editable'!I16</f>
        <v>741600</v>
      </c>
      <c r="G13" s="78">
        <f>'Personnel - Editable'!J16</f>
        <v>763848</v>
      </c>
      <c r="H13" s="137"/>
      <c r="I13" s="137"/>
      <c r="J13" s="115"/>
      <c r="K13" s="112" t="s">
        <v>75</v>
      </c>
      <c r="L13" s="114">
        <f>E21</f>
        <v>1006096.5394</v>
      </c>
      <c r="M13" s="114">
        <f>F21</f>
        <v>1063654.5672800001</v>
      </c>
      <c r="N13" s="114">
        <f>G21</f>
        <v>1123179.8819719998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51059</v>
      </c>
      <c r="F14" s="80">
        <f>Inputs!D18</f>
        <v>52590.770000000004</v>
      </c>
      <c r="G14" s="80">
        <f>Inputs!E18</f>
        <v>54168.493100000007</v>
      </c>
      <c r="H14" s="137"/>
      <c r="I14" s="137"/>
      <c r="J14" s="115"/>
      <c r="K14" s="112" t="s">
        <v>78</v>
      </c>
      <c r="L14" s="114">
        <f>E21</f>
        <v>1006096.5394</v>
      </c>
      <c r="M14" s="114">
        <f>F21</f>
        <v>1063654.5672800001</v>
      </c>
      <c r="N14" s="114">
        <f>G21</f>
        <v>1123179.8819719998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39981.400199999996</v>
      </c>
      <c r="F15" s="78">
        <f>Inputs!D19</f>
        <v>47977.680240000002</v>
      </c>
      <c r="G15" s="78">
        <f>Inputs!E19</f>
        <v>55174.332275999994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38708.107199999999</v>
      </c>
      <c r="F16" s="80">
        <f>Inputs!D20</f>
        <v>46449.728640000001</v>
      </c>
      <c r="G16" s="80">
        <f>Inputs!E20</f>
        <v>53417.187935999995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43200</v>
      </c>
      <c r="F17" s="78">
        <f>Inputs!D21</f>
        <v>44496</v>
      </c>
      <c r="G17" s="78">
        <f>Inputs!E21</f>
        <v>45830.879999999997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30559.031999999999</v>
      </c>
      <c r="F18" s="80">
        <f>Inputs!D22</f>
        <v>36670.838400000001</v>
      </c>
      <c r="G18" s="80">
        <f>Inputs!E22</f>
        <v>42171.464159999996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27509</v>
      </c>
      <c r="F19" s="78">
        <f>Inputs!D23</f>
        <v>37137.15</v>
      </c>
      <c r="G19" s="78">
        <f>Inputs!E23</f>
        <v>50135.152500000004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55080</v>
      </c>
      <c r="F20" s="80">
        <f>F13*'Tax Assumptions '!G9</f>
        <v>56732.4</v>
      </c>
      <c r="G20" s="80">
        <f>G13*'Tax Assumptions '!H9</f>
        <v>58434.371999999996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1006096.5394</v>
      </c>
      <c r="F21" s="81">
        <f t="shared" ref="F21:G21" si="3">SUM(F13:F20)</f>
        <v>1063654.5672800001</v>
      </c>
      <c r="G21" s="81">
        <f t="shared" si="3"/>
        <v>1123179.8819719998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321766.16059999994</v>
      </c>
      <c r="F23" s="83">
        <f t="shared" ref="F23:G23" si="4">F10-F21</f>
        <v>529780.67272000015</v>
      </c>
      <c r="G23" s="83">
        <f t="shared" si="4"/>
        <v>709270.64402800007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77271.540149999986</v>
      </c>
      <c r="F24" s="78">
        <f>(F23-F26-F27)*'Tax Assumptions '!G7</f>
        <v>129275.16818000004</v>
      </c>
      <c r="G24" s="78">
        <f>(G23-G26-G27)*'Tax Assumptions '!H7</f>
        <v>174147.66100700002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15454.308029999998</v>
      </c>
      <c r="F25" s="80">
        <f>(F23-F26-F27)*'Tax Assumptions '!G8</f>
        <v>25855.033636000007</v>
      </c>
      <c r="G25" s="80">
        <f>(G23-G26-G27)*'Tax Assumptions '!H8</f>
        <v>34829.532201400005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0</v>
      </c>
      <c r="F26" s="78">
        <f>SUM('Loan Amortization Table'!D26:D37)</f>
        <v>0</v>
      </c>
      <c r="G26" s="78">
        <f>SUM('Loan Amortization Table'!D38:D49)</f>
        <v>0</v>
      </c>
      <c r="H26" s="128"/>
      <c r="I26" s="128"/>
    </row>
    <row r="27" spans="4:21">
      <c r="D27" s="70" t="s">
        <v>54</v>
      </c>
      <c r="E27" s="80">
        <v>12680</v>
      </c>
      <c r="F27" s="80">
        <v>12680</v>
      </c>
      <c r="G27" s="80">
        <v>12680</v>
      </c>
      <c r="H27" s="128"/>
      <c r="I27" s="128"/>
    </row>
    <row r="28" spans="4:21">
      <c r="D28" s="82" t="s">
        <v>17</v>
      </c>
      <c r="E28" s="83">
        <f>E23-SUM(E24:E27)</f>
        <v>216360.31241999997</v>
      </c>
      <c r="F28" s="83">
        <f t="shared" ref="F28:G28" si="5">F23-SUM(F24:F27)</f>
        <v>361970.4709040001</v>
      </c>
      <c r="G28" s="83">
        <f t="shared" si="5"/>
        <v>487613.45081960002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2546586</v>
      </c>
      <c r="F32" s="69">
        <f t="shared" ref="F32:G32" si="6">F6</f>
        <v>3055903.2</v>
      </c>
      <c r="G32" s="81">
        <f t="shared" si="6"/>
        <v>3514288.6799999997</v>
      </c>
      <c r="H32" s="132"/>
      <c r="I32" s="132"/>
    </row>
    <row r="33" spans="4:13">
      <c r="D33" s="70" t="s">
        <v>52</v>
      </c>
      <c r="E33" s="71">
        <f>E7</f>
        <v>1218723.3</v>
      </c>
      <c r="F33" s="71">
        <f t="shared" ref="F33:G33" si="7">F7</f>
        <v>1462467.96</v>
      </c>
      <c r="G33" s="80">
        <f t="shared" si="7"/>
        <v>1681838.1539999999</v>
      </c>
      <c r="H33" s="128"/>
      <c r="I33" s="128"/>
    </row>
    <row r="34" spans="4:13">
      <c r="D34" s="68" t="s">
        <v>10</v>
      </c>
      <c r="E34" s="69">
        <f>E10</f>
        <v>1327862.7</v>
      </c>
      <c r="F34" s="69">
        <f t="shared" ref="F34:G34" si="8">F10</f>
        <v>1593435.2400000002</v>
      </c>
      <c r="G34" s="81">
        <f t="shared" si="8"/>
        <v>1832450.5259999998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1006096.5394</v>
      </c>
      <c r="F35" s="84">
        <f t="shared" ref="F35:G35" si="9">F21</f>
        <v>1063654.5672800001</v>
      </c>
      <c r="G35" s="84">
        <f t="shared" si="9"/>
        <v>1123179.8819719998</v>
      </c>
      <c r="H35" s="132"/>
      <c r="I35" s="132"/>
    </row>
    <row r="36" spans="4:13">
      <c r="D36" s="82" t="s">
        <v>47</v>
      </c>
      <c r="E36" s="83">
        <f>E23</f>
        <v>321766.16059999994</v>
      </c>
      <c r="F36" s="83">
        <f t="shared" ref="F36:G36" si="10">F23</f>
        <v>529780.67272000015</v>
      </c>
      <c r="G36" s="83">
        <f t="shared" si="10"/>
        <v>709270.64402800007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V7" sqref="V7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229040.31241999997</v>
      </c>
      <c r="F6" s="81">
        <f>'Profit and Loss Statement'!F28+'Profit and Loss Statement'!F27</f>
        <v>374650.4709040001</v>
      </c>
      <c r="G6" s="81">
        <f>'Profit and Loss Statement'!G28+'Profit and Loss Statement'!G27</f>
        <v>500293.45081960002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200000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8"/>
      <c r="I11" s="128"/>
    </row>
    <row r="12" spans="4:9">
      <c r="D12" s="75" t="s">
        <v>23</v>
      </c>
      <c r="E12" s="89">
        <f>SUM(E9:E11)</f>
        <v>210000</v>
      </c>
      <c r="F12" s="89">
        <f t="shared" ref="F12:G12" si="0">SUM(F9:F11)</f>
        <v>10200</v>
      </c>
      <c r="G12" s="89">
        <f t="shared" si="0"/>
        <v>10404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439040.31241999997</v>
      </c>
      <c r="F15" s="90">
        <f t="shared" ref="F15:G15" si="1">F12+F6</f>
        <v>384850.4709040001</v>
      </c>
      <c r="G15" s="90">
        <f t="shared" si="1"/>
        <v>510697.45081960002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0</v>
      </c>
      <c r="F18" s="80">
        <f>SUM('Loan Amortization Table'!C26:C37)</f>
        <v>0</v>
      </c>
      <c r="G18" s="80">
        <f>SUM('Loan Amortization Table'!C38:C49)</f>
        <v>0</v>
      </c>
      <c r="H18" s="128"/>
      <c r="I18" s="128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8"/>
      <c r="I19" s="128"/>
    </row>
    <row r="20" spans="4:9">
      <c r="D20" s="70" t="s">
        <v>33</v>
      </c>
      <c r="E20" s="80">
        <f>'Use of Funds'!$E$6</f>
        <v>25000</v>
      </c>
      <c r="F20" s="80">
        <f>F6*0.05</f>
        <v>18732.523545200005</v>
      </c>
      <c r="G20" s="80">
        <f>G6*0.05</f>
        <v>25014.672540980002</v>
      </c>
      <c r="H20" s="128"/>
      <c r="I20" s="128"/>
    </row>
    <row r="21" spans="4:9">
      <c r="D21" s="72" t="s">
        <v>32</v>
      </c>
      <c r="E21" s="78">
        <f>E6*0.7</f>
        <v>160328.21869399998</v>
      </c>
      <c r="F21" s="78">
        <f t="shared" ref="F21:G21" si="3">F6*0.7</f>
        <v>262255.32963280007</v>
      </c>
      <c r="G21" s="78">
        <f t="shared" si="3"/>
        <v>350205.41557372001</v>
      </c>
      <c r="H21" s="128"/>
      <c r="I21" s="128"/>
    </row>
    <row r="22" spans="4:9">
      <c r="D22" s="75" t="s">
        <v>26</v>
      </c>
      <c r="E22" s="84">
        <f>SUM(E18:E21)</f>
        <v>192328.21869399998</v>
      </c>
      <c r="F22" s="84">
        <f t="shared" ref="F22:G22" si="4">SUM(F18:F21)</f>
        <v>288127.85317800008</v>
      </c>
      <c r="G22" s="84">
        <f t="shared" si="4"/>
        <v>382502.88811469998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246712.09372599999</v>
      </c>
      <c r="F24" s="91">
        <f t="shared" ref="F24:G24" si="5">F15-F22</f>
        <v>96722.617726000026</v>
      </c>
      <c r="G24" s="91">
        <f t="shared" si="5"/>
        <v>128194.56270490005</v>
      </c>
      <c r="H24" s="133"/>
      <c r="I24" s="133"/>
    </row>
    <row r="25" spans="4:9">
      <c r="D25" s="82" t="s">
        <v>6</v>
      </c>
      <c r="E25" s="91">
        <f>E24</f>
        <v>246712.09372599999</v>
      </c>
      <c r="F25" s="91">
        <f>E25+F24</f>
        <v>343434.71145200002</v>
      </c>
      <c r="G25" s="91">
        <f>F25+G24</f>
        <v>471629.27415690006</v>
      </c>
      <c r="H25" s="133"/>
      <c r="I25" s="133"/>
    </row>
    <row r="28" spans="4:9">
      <c r="D28" s="112" t="s">
        <v>79</v>
      </c>
      <c r="E28" s="114">
        <f>E6</f>
        <v>229040.31241999997</v>
      </c>
      <c r="F28" s="114">
        <f t="shared" ref="F28:G28" si="6">F6</f>
        <v>374650.4709040001</v>
      </c>
      <c r="G28" s="114">
        <f t="shared" si="6"/>
        <v>500293.45081960002</v>
      </c>
      <c r="H28" s="1"/>
      <c r="I28" s="1"/>
    </row>
    <row r="29" spans="4:9">
      <c r="D29" s="112" t="s">
        <v>80</v>
      </c>
      <c r="E29" s="114">
        <f>E18</f>
        <v>0</v>
      </c>
      <c r="F29" s="114">
        <f t="shared" ref="F29:G29" si="7">F18</f>
        <v>0</v>
      </c>
      <c r="G29" s="114">
        <f t="shared" si="7"/>
        <v>0</v>
      </c>
      <c r="H29" s="1"/>
      <c r="I29" s="1"/>
    </row>
    <row r="30" spans="4:9">
      <c r="D30" s="112" t="s">
        <v>81</v>
      </c>
      <c r="E30" s="114">
        <f>E21</f>
        <v>160328.21869399998</v>
      </c>
      <c r="F30" s="114">
        <f t="shared" ref="F30:G30" si="8">F21</f>
        <v>262255.32963280007</v>
      </c>
      <c r="G30" s="114">
        <f t="shared" si="8"/>
        <v>350205.41557372001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1" sqref="T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246712.09372599999</v>
      </c>
      <c r="F7" s="78">
        <f>'Cash Flow Analysis'!F25</f>
        <v>343434.71145200002</v>
      </c>
      <c r="G7" s="78">
        <f>'Cash Flow Analysis'!G25</f>
        <v>471629.27415690006</v>
      </c>
      <c r="H7" s="128"/>
      <c r="I7" s="128"/>
    </row>
    <row r="8" spans="4:9">
      <c r="D8" s="66" t="s">
        <v>125</v>
      </c>
      <c r="E8" s="94">
        <f>'Cash Flow Analysis'!E20</f>
        <v>25000</v>
      </c>
      <c r="F8" s="94">
        <f>E8+'Cash Flow Analysis'!F20</f>
        <v>43732.523545200005</v>
      </c>
      <c r="G8" s="94">
        <f>F8+'Cash Flow Analysis'!G20</f>
        <v>68747.196086180003</v>
      </c>
      <c r="H8" s="128"/>
      <c r="I8" s="128"/>
    </row>
    <row r="9" spans="4:9">
      <c r="D9" s="72" t="s">
        <v>48</v>
      </c>
      <c r="E9" s="87">
        <f>-'Profit and Loss Statement'!E27</f>
        <v>-12680</v>
      </c>
      <c r="F9" s="87">
        <f>E9-'Profit and Loss Statement'!F27</f>
        <v>-25360</v>
      </c>
      <c r="G9" s="87">
        <f>F9-'Profit and Loss Statement'!G27</f>
        <v>-38040</v>
      </c>
      <c r="H9" s="131"/>
      <c r="I9" s="131"/>
    </row>
    <row r="10" spans="4:9">
      <c r="D10" s="95" t="s">
        <v>7</v>
      </c>
      <c r="E10" s="96">
        <f>SUM(E7:E9)</f>
        <v>259032.09372599999</v>
      </c>
      <c r="F10" s="96">
        <f t="shared" ref="F10:G10" si="0">SUM(F7:F9)</f>
        <v>361807.23499720002</v>
      </c>
      <c r="G10" s="96">
        <f t="shared" si="0"/>
        <v>502336.47024308005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8"/>
      <c r="I13" s="128"/>
    </row>
    <row r="14" spans="4:9">
      <c r="D14" s="66" t="s">
        <v>73</v>
      </c>
      <c r="E14" s="94">
        <f>'Loan Amortization Table'!E25</f>
        <v>0</v>
      </c>
      <c r="F14" s="94">
        <f>'Loan Amortization Table'!E37</f>
        <v>0</v>
      </c>
      <c r="G14" s="94">
        <f>'Loan Amortization Table'!E49</f>
        <v>0</v>
      </c>
      <c r="H14" s="128"/>
      <c r="I14" s="128"/>
    </row>
    <row r="15" spans="4:9">
      <c r="D15" s="68" t="s">
        <v>30</v>
      </c>
      <c r="E15" s="81">
        <f>SUM(E13:E14)</f>
        <v>3000</v>
      </c>
      <c r="F15" s="81">
        <f t="shared" ref="F15:G15" si="1">SUM(F13:F14)</f>
        <v>6060</v>
      </c>
      <c r="G15" s="81">
        <f t="shared" si="1"/>
        <v>9181.2000000000007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256032.09372599999</v>
      </c>
      <c r="F17" s="83">
        <f t="shared" ref="F17:G17" si="2">F10-F15</f>
        <v>355747.23499720002</v>
      </c>
      <c r="G17" s="83">
        <f t="shared" si="2"/>
        <v>493155.27024308004</v>
      </c>
      <c r="H17" s="132"/>
      <c r="I17" s="132"/>
    </row>
    <row r="18" spans="4:9">
      <c r="D18" s="82" t="s">
        <v>31</v>
      </c>
      <c r="E18" s="83">
        <f>E15+E17</f>
        <v>259032.09372599999</v>
      </c>
      <c r="F18" s="83">
        <f t="shared" ref="F18:G18" si="3">F15+F17</f>
        <v>361807.23499720002</v>
      </c>
      <c r="G18" s="83">
        <f t="shared" si="3"/>
        <v>502336.47024308005</v>
      </c>
      <c r="H18" s="132"/>
      <c r="I18" s="132"/>
    </row>
    <row r="21" spans="4:9">
      <c r="D21" s="112" t="s">
        <v>82</v>
      </c>
      <c r="E21" s="114">
        <f>E10-1</f>
        <v>259031.09372599999</v>
      </c>
      <c r="F21" s="114">
        <f t="shared" ref="F21:G21" si="4">F10-1</f>
        <v>361806.23499720002</v>
      </c>
      <c r="G21" s="114">
        <f t="shared" si="4"/>
        <v>502335.47024308005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3000</v>
      </c>
      <c r="F22" s="114">
        <f t="shared" ref="F22:G22" si="6">F15</f>
        <v>6060</v>
      </c>
      <c r="G22" s="114">
        <f t="shared" si="6"/>
        <v>9181.2000000000007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256032.09372599999</v>
      </c>
      <c r="F23" s="114">
        <f t="shared" ref="F23:G23" si="8">F17</f>
        <v>355747.23499720002</v>
      </c>
      <c r="G23" s="114">
        <f t="shared" si="8"/>
        <v>493155.27024308004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  <c r="I28" s="112" t="s">
        <v>138</v>
      </c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T168"/>
  <sheetViews>
    <sheetView showGridLines="0" workbookViewId="0">
      <selection activeCell="T8" sqref="T8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212100</v>
      </c>
      <c r="D6" s="6">
        <f>Inputs!D42</f>
        <v>212121</v>
      </c>
      <c r="E6" s="6">
        <f>Inputs!E42</f>
        <v>212142</v>
      </c>
      <c r="F6" s="6">
        <f>Inputs!F42</f>
        <v>212163</v>
      </c>
      <c r="G6" s="6">
        <f>Inputs!G42</f>
        <v>212184</v>
      </c>
      <c r="H6" s="6">
        <f>Inputs!H42</f>
        <v>212205</v>
      </c>
      <c r="I6" s="6">
        <f>Inputs!I42</f>
        <v>212226</v>
      </c>
    </row>
    <row r="7" spans="2:9">
      <c r="B7" s="31" t="s">
        <v>52</v>
      </c>
      <c r="C7" s="6">
        <f>Inputs!C61</f>
        <v>101505</v>
      </c>
      <c r="D7" s="6">
        <f>Inputs!D61</f>
        <v>101515.05</v>
      </c>
      <c r="E7" s="6">
        <f>Inputs!E61</f>
        <v>101525.1</v>
      </c>
      <c r="F7" s="6">
        <f>Inputs!F61</f>
        <v>101535.15</v>
      </c>
      <c r="G7" s="6">
        <f>Inputs!G61</f>
        <v>101545.2</v>
      </c>
      <c r="H7" s="6">
        <f>Inputs!H61</f>
        <v>101555.25</v>
      </c>
      <c r="I7" s="6">
        <f>Inputs!I61</f>
        <v>101565.3</v>
      </c>
    </row>
    <row r="8" spans="2:9">
      <c r="B8" s="29" t="s">
        <v>12</v>
      </c>
      <c r="C8" s="17">
        <f>1-(C7/C6)</f>
        <v>0.52142857142857135</v>
      </c>
      <c r="D8" s="17">
        <f t="shared" ref="D8:I8" si="1">1-(D7/D6)</f>
        <v>0.52142857142857135</v>
      </c>
      <c r="E8" s="17">
        <f t="shared" si="1"/>
        <v>0.52142857142857135</v>
      </c>
      <c r="F8" s="17">
        <f t="shared" si="1"/>
        <v>0.52142857142857146</v>
      </c>
      <c r="G8" s="17">
        <f t="shared" si="1"/>
        <v>0.52142857142857146</v>
      </c>
      <c r="H8" s="17">
        <f t="shared" si="1"/>
        <v>0.52142857142857135</v>
      </c>
      <c r="I8" s="17">
        <f t="shared" si="1"/>
        <v>0.52142857142857135</v>
      </c>
    </row>
    <row r="9" spans="2:9">
      <c r="B9" s="30"/>
    </row>
    <row r="10" spans="2:9">
      <c r="B10" s="37" t="s">
        <v>10</v>
      </c>
      <c r="C10" s="6">
        <f>C6-C7</f>
        <v>110595</v>
      </c>
      <c r="D10" s="6">
        <f t="shared" ref="D10:I10" si="2">D6-D7</f>
        <v>110605.95</v>
      </c>
      <c r="E10" s="6">
        <f t="shared" si="2"/>
        <v>110616.9</v>
      </c>
      <c r="F10" s="6">
        <f t="shared" si="2"/>
        <v>110627.85</v>
      </c>
      <c r="G10" s="6">
        <f t="shared" si="2"/>
        <v>110638.8</v>
      </c>
      <c r="H10" s="6">
        <f t="shared" si="2"/>
        <v>110649.75</v>
      </c>
      <c r="I10" s="6">
        <f t="shared" si="2"/>
        <v>110660.7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60000</v>
      </c>
      <c r="D13" s="6">
        <f t="shared" ref="D13:I13" si="3">$H$41/12</f>
        <v>60000</v>
      </c>
      <c r="E13" s="6">
        <f t="shared" si="3"/>
        <v>60000</v>
      </c>
      <c r="F13" s="6">
        <f t="shared" si="3"/>
        <v>60000</v>
      </c>
      <c r="G13" s="6">
        <f t="shared" si="3"/>
        <v>60000</v>
      </c>
      <c r="H13" s="6">
        <f t="shared" si="3"/>
        <v>60000</v>
      </c>
      <c r="I13" s="6">
        <f t="shared" si="3"/>
        <v>60000</v>
      </c>
    </row>
    <row r="14" spans="2:9">
      <c r="B14" s="33" t="str">
        <f>'Profit and Loss Statement'!D14</f>
        <v>Facility Costs</v>
      </c>
      <c r="C14" s="6">
        <f>$H$42/12</f>
        <v>4254.916666666667</v>
      </c>
      <c r="D14" s="6">
        <f t="shared" ref="D14:I14" si="4">$H$42/12</f>
        <v>4254.916666666667</v>
      </c>
      <c r="E14" s="6">
        <f t="shared" si="4"/>
        <v>4254.916666666667</v>
      </c>
      <c r="F14" s="6">
        <f t="shared" si="4"/>
        <v>4254.916666666667</v>
      </c>
      <c r="G14" s="6">
        <f t="shared" si="4"/>
        <v>4254.916666666667</v>
      </c>
      <c r="H14" s="6">
        <f t="shared" si="4"/>
        <v>4254.916666666667</v>
      </c>
      <c r="I14" s="6">
        <f t="shared" si="4"/>
        <v>4254.916666666667</v>
      </c>
    </row>
    <row r="15" spans="2:9">
      <c r="B15" s="33" t="str">
        <f>'Profit and Loss Statement'!D15</f>
        <v>General and Administrative</v>
      </c>
      <c r="C15" s="6">
        <f>$H$43/12</f>
        <v>3331.7833499999997</v>
      </c>
      <c r="D15" s="6">
        <f t="shared" ref="D15:I15" si="5">$H$43/12</f>
        <v>3331.7833499999997</v>
      </c>
      <c r="E15" s="6">
        <f t="shared" si="5"/>
        <v>3331.7833499999997</v>
      </c>
      <c r="F15" s="6">
        <f t="shared" si="5"/>
        <v>3331.7833499999997</v>
      </c>
      <c r="G15" s="6">
        <f t="shared" si="5"/>
        <v>3331.7833499999997</v>
      </c>
      <c r="H15" s="6">
        <f t="shared" si="5"/>
        <v>3331.7833499999997</v>
      </c>
      <c r="I15" s="6">
        <f t="shared" si="5"/>
        <v>3331.7833499999997</v>
      </c>
    </row>
    <row r="16" spans="2:9">
      <c r="B16" s="33" t="str">
        <f>'Profit and Loss Statement'!D16</f>
        <v>Equipment Costs</v>
      </c>
      <c r="C16" s="6">
        <f>$H$44/12</f>
        <v>3225.6756</v>
      </c>
      <c r="D16" s="6">
        <f t="shared" ref="D16:I16" si="6">$H$44/12</f>
        <v>3225.6756</v>
      </c>
      <c r="E16" s="6">
        <f t="shared" si="6"/>
        <v>3225.6756</v>
      </c>
      <c r="F16" s="6">
        <f t="shared" si="6"/>
        <v>3225.6756</v>
      </c>
      <c r="G16" s="6">
        <f t="shared" si="6"/>
        <v>3225.6756</v>
      </c>
      <c r="H16" s="6">
        <f t="shared" si="6"/>
        <v>3225.6756</v>
      </c>
      <c r="I16" s="6">
        <f t="shared" si="6"/>
        <v>3225.6756</v>
      </c>
    </row>
    <row r="17" spans="2:9">
      <c r="B17" s="33" t="str">
        <f>'Profit and Loss Statement'!D17</f>
        <v>Insurance Costs</v>
      </c>
      <c r="C17" s="6">
        <f>$H$45/12</f>
        <v>3600</v>
      </c>
      <c r="D17" s="6">
        <f t="shared" ref="D17:I17" si="7">$H$45/12</f>
        <v>3600</v>
      </c>
      <c r="E17" s="6">
        <f t="shared" si="7"/>
        <v>3600</v>
      </c>
      <c r="F17" s="6">
        <f t="shared" si="7"/>
        <v>3600</v>
      </c>
      <c r="G17" s="6">
        <f t="shared" si="7"/>
        <v>3600</v>
      </c>
      <c r="H17" s="6">
        <f t="shared" si="7"/>
        <v>3600</v>
      </c>
      <c r="I17" s="6">
        <f t="shared" si="7"/>
        <v>3600</v>
      </c>
    </row>
    <row r="18" spans="2:9">
      <c r="B18" s="33" t="str">
        <f>'Profit and Loss Statement'!D18</f>
        <v>Marketing</v>
      </c>
      <c r="C18" s="6">
        <f>$H$46/12</f>
        <v>2546.5859999999998</v>
      </c>
      <c r="D18" s="6">
        <f t="shared" ref="D18:I18" si="8">$H$46/12</f>
        <v>2546.5859999999998</v>
      </c>
      <c r="E18" s="6">
        <f t="shared" si="8"/>
        <v>2546.5859999999998</v>
      </c>
      <c r="F18" s="6">
        <f t="shared" si="8"/>
        <v>2546.5859999999998</v>
      </c>
      <c r="G18" s="6">
        <f t="shared" si="8"/>
        <v>2546.5859999999998</v>
      </c>
      <c r="H18" s="6">
        <f t="shared" si="8"/>
        <v>2546.5859999999998</v>
      </c>
      <c r="I18" s="6">
        <f t="shared" si="8"/>
        <v>2546.5859999999998</v>
      </c>
    </row>
    <row r="19" spans="2:9">
      <c r="B19" s="33" t="str">
        <f>'Profit and Loss Statement'!D19</f>
        <v>Professional Fees and Licensure</v>
      </c>
      <c r="C19" s="6">
        <f>$H$47/12</f>
        <v>2292.4166666666665</v>
      </c>
      <c r="D19" s="6">
        <f t="shared" ref="D19:I19" si="9">$H$47/12</f>
        <v>2292.4166666666665</v>
      </c>
      <c r="E19" s="6">
        <f t="shared" si="9"/>
        <v>2292.4166666666665</v>
      </c>
      <c r="F19" s="6">
        <f t="shared" si="9"/>
        <v>2292.4166666666665</v>
      </c>
      <c r="G19" s="6">
        <f t="shared" si="9"/>
        <v>2292.4166666666665</v>
      </c>
      <c r="H19" s="6">
        <f t="shared" si="9"/>
        <v>2292.4166666666665</v>
      </c>
      <c r="I19" s="6">
        <f t="shared" si="9"/>
        <v>2292.4166666666665</v>
      </c>
    </row>
    <row r="20" spans="2:9">
      <c r="B20" s="29" t="s">
        <v>14</v>
      </c>
      <c r="C20" s="6">
        <f>$H$48/12</f>
        <v>4590</v>
      </c>
      <c r="D20" s="6">
        <f t="shared" ref="D20:I20" si="10">$H$48/12</f>
        <v>4590</v>
      </c>
      <c r="E20" s="6">
        <f t="shared" si="10"/>
        <v>4590</v>
      </c>
      <c r="F20" s="6">
        <f t="shared" si="10"/>
        <v>4590</v>
      </c>
      <c r="G20" s="6">
        <f t="shared" si="10"/>
        <v>4590</v>
      </c>
      <c r="H20" s="6">
        <f t="shared" si="10"/>
        <v>4590</v>
      </c>
      <c r="I20" s="6">
        <f t="shared" si="10"/>
        <v>4590</v>
      </c>
    </row>
    <row r="21" spans="2:9">
      <c r="B21" s="28" t="s">
        <v>8</v>
      </c>
      <c r="C21" s="6">
        <f>SUM(C13:C20)</f>
        <v>83841.378283333339</v>
      </c>
      <c r="D21" s="6">
        <f t="shared" ref="D21:I21" si="11">SUM(D13:D20)</f>
        <v>83841.378283333339</v>
      </c>
      <c r="E21" s="6">
        <f t="shared" si="11"/>
        <v>83841.378283333339</v>
      </c>
      <c r="F21" s="6">
        <f t="shared" si="11"/>
        <v>83841.378283333339</v>
      </c>
      <c r="G21" s="6">
        <f t="shared" si="11"/>
        <v>83841.378283333339</v>
      </c>
      <c r="H21" s="6">
        <f t="shared" si="11"/>
        <v>83841.378283333339</v>
      </c>
      <c r="I21" s="6">
        <f t="shared" si="11"/>
        <v>83841.378283333339</v>
      </c>
    </row>
    <row r="22" spans="2:9">
      <c r="B22" s="30"/>
    </row>
    <row r="23" spans="2:9">
      <c r="B23" s="24" t="s">
        <v>47</v>
      </c>
      <c r="C23" s="25">
        <f>C10-C21</f>
        <v>26753.621716666661</v>
      </c>
      <c r="D23" s="25">
        <f t="shared" ref="D23:I23" si="12">D10-D21</f>
        <v>26764.571716666658</v>
      </c>
      <c r="E23" s="25">
        <f t="shared" si="12"/>
        <v>26775.521716666655</v>
      </c>
      <c r="F23" s="25">
        <f t="shared" si="12"/>
        <v>26786.471716666667</v>
      </c>
      <c r="G23" s="25">
        <f t="shared" si="12"/>
        <v>26797.421716666664</v>
      </c>
      <c r="H23" s="25">
        <f t="shared" si="12"/>
        <v>26808.371716666661</v>
      </c>
      <c r="I23" s="25">
        <f t="shared" si="12"/>
        <v>26819.321716666658</v>
      </c>
    </row>
    <row r="24" spans="2:9">
      <c r="B24" s="29" t="s">
        <v>15</v>
      </c>
      <c r="C24" s="6">
        <f>(C6/$H$34)*$H$52</f>
        <v>6435.7903741774262</v>
      </c>
      <c r="D24" s="6">
        <f t="shared" ref="D24:I24" si="13">(D6/$H$34)*$H$52</f>
        <v>6436.4275811451671</v>
      </c>
      <c r="E24" s="6">
        <f t="shared" si="13"/>
        <v>6437.064788112908</v>
      </c>
      <c r="F24" s="6">
        <f t="shared" si="13"/>
        <v>6437.7019950806489</v>
      </c>
      <c r="G24" s="6">
        <f t="shared" si="13"/>
        <v>6438.339202048388</v>
      </c>
      <c r="H24" s="6">
        <f t="shared" si="13"/>
        <v>6438.9764090161289</v>
      </c>
      <c r="I24" s="6">
        <f t="shared" si="13"/>
        <v>6439.6136159838697</v>
      </c>
    </row>
    <row r="25" spans="2:9">
      <c r="B25" s="29" t="s">
        <v>102</v>
      </c>
      <c r="C25" s="6">
        <f>(C6/$H$34)*$H$53</f>
        <v>1287.1580748354854</v>
      </c>
      <c r="D25" s="6">
        <f t="shared" ref="D25:I25" si="14">(D6/$H$34)*$H$53</f>
        <v>1287.2855162290336</v>
      </c>
      <c r="E25" s="6">
        <f t="shared" si="14"/>
        <v>1287.4129576225816</v>
      </c>
      <c r="F25" s="6">
        <f t="shared" si="14"/>
        <v>1287.5403990161299</v>
      </c>
      <c r="G25" s="6">
        <f t="shared" si="14"/>
        <v>1287.6678404096776</v>
      </c>
      <c r="H25" s="6">
        <f t="shared" si="14"/>
        <v>1287.7952818032259</v>
      </c>
      <c r="I25" s="6">
        <f t="shared" si="14"/>
        <v>1287.9227231967739</v>
      </c>
    </row>
    <row r="26" spans="2:9">
      <c r="B26" s="29" t="s">
        <v>16</v>
      </c>
      <c r="C26" s="6">
        <f>'Loan Amortization Table'!D14</f>
        <v>0</v>
      </c>
      <c r="D26" s="6">
        <f>'Loan Amortization Table'!D15</f>
        <v>0</v>
      </c>
      <c r="E26" s="6">
        <f>'Loan Amortization Table'!D16</f>
        <v>0</v>
      </c>
      <c r="F26" s="6">
        <f>'Loan Amortization Table'!D17</f>
        <v>0</v>
      </c>
      <c r="G26" s="6">
        <f>'Loan Amortization Table'!D18</f>
        <v>0</v>
      </c>
      <c r="H26" s="6">
        <f>'Loan Amortization Table'!D19</f>
        <v>0</v>
      </c>
      <c r="I26" s="6">
        <f>'Loan Amortization Table'!D20</f>
        <v>0</v>
      </c>
    </row>
    <row r="27" spans="2:9">
      <c r="B27" s="29" t="s">
        <v>54</v>
      </c>
      <c r="C27" s="6">
        <f>$H$55/12</f>
        <v>1056.6666666666667</v>
      </c>
      <c r="D27" s="6">
        <f t="shared" ref="D27:I27" si="15">$H$55/12</f>
        <v>1056.6666666666667</v>
      </c>
      <c r="E27" s="6">
        <f t="shared" si="15"/>
        <v>1056.6666666666667</v>
      </c>
      <c r="F27" s="6">
        <f t="shared" si="15"/>
        <v>1056.6666666666667</v>
      </c>
      <c r="G27" s="6">
        <f t="shared" si="15"/>
        <v>1056.6666666666667</v>
      </c>
      <c r="H27" s="6">
        <f t="shared" si="15"/>
        <v>1056.6666666666667</v>
      </c>
      <c r="I27" s="6">
        <f t="shared" si="15"/>
        <v>1056.6666666666667</v>
      </c>
    </row>
    <row r="28" spans="2:9">
      <c r="B28" s="38" t="s">
        <v>17</v>
      </c>
      <c r="C28" s="39">
        <f>C23-SUM(C24:C27)</f>
        <v>17974.006600987082</v>
      </c>
      <c r="D28" s="39">
        <f t="shared" ref="D28:I28" si="16">D23-SUM(D24:D27)</f>
        <v>17984.191952625792</v>
      </c>
      <c r="E28" s="39">
        <f t="shared" si="16"/>
        <v>17994.377304264497</v>
      </c>
      <c r="F28" s="39">
        <f t="shared" si="16"/>
        <v>18004.562655903224</v>
      </c>
      <c r="G28" s="39">
        <f t="shared" si="16"/>
        <v>18014.74800754193</v>
      </c>
      <c r="H28" s="39">
        <f t="shared" si="16"/>
        <v>18024.933359180643</v>
      </c>
      <c r="I28" s="39">
        <f t="shared" si="16"/>
        <v>18035.118710819348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212247</v>
      </c>
      <c r="D34" s="6">
        <f>Inputs!K42</f>
        <v>212268</v>
      </c>
      <c r="E34" s="6">
        <f>Inputs!L42</f>
        <v>212289</v>
      </c>
      <c r="F34" s="6">
        <f>Inputs!M42</f>
        <v>212310</v>
      </c>
      <c r="G34" s="6">
        <f>Inputs!N42</f>
        <v>212331</v>
      </c>
      <c r="H34" s="6">
        <f>'Profit and Loss Statement'!E6</f>
        <v>2546586</v>
      </c>
    </row>
    <row r="35" spans="2:8">
      <c r="B35" s="31" t="s">
        <v>52</v>
      </c>
      <c r="C35" s="6">
        <f>Inputs!J61</f>
        <v>101575.35</v>
      </c>
      <c r="D35" s="6">
        <f>Inputs!K61</f>
        <v>101585.4</v>
      </c>
      <c r="E35" s="6">
        <f>Inputs!L61</f>
        <v>101595.45</v>
      </c>
      <c r="F35" s="6">
        <f>Inputs!M61</f>
        <v>101605.5</v>
      </c>
      <c r="G35" s="6">
        <f>Inputs!N61</f>
        <v>101615.55</v>
      </c>
      <c r="H35" s="6">
        <f>'Profit and Loss Statement'!E7</f>
        <v>1218723.3</v>
      </c>
    </row>
    <row r="36" spans="2:8">
      <c r="B36" s="29" t="s">
        <v>12</v>
      </c>
      <c r="C36" s="17">
        <f>1-(C35/C34)</f>
        <v>0.52142857142857135</v>
      </c>
      <c r="D36" s="17">
        <f t="shared" ref="D36:H36" si="18">1-(D35/D34)</f>
        <v>0.52142857142857146</v>
      </c>
      <c r="E36" s="17">
        <f t="shared" si="18"/>
        <v>0.52142857142857146</v>
      </c>
      <c r="F36" s="17">
        <f t="shared" si="18"/>
        <v>0.52142857142857135</v>
      </c>
      <c r="G36" s="17">
        <f t="shared" si="18"/>
        <v>0.52142857142857135</v>
      </c>
      <c r="H36" s="17">
        <f t="shared" si="18"/>
        <v>0.52142857142857135</v>
      </c>
    </row>
    <row r="37" spans="2:8">
      <c r="B37" s="30"/>
    </row>
    <row r="38" spans="2:8">
      <c r="B38" s="37" t="s">
        <v>10</v>
      </c>
      <c r="C38" s="6">
        <f>C34-C35</f>
        <v>110671.65</v>
      </c>
      <c r="D38" s="6">
        <f t="shared" ref="D38:H38" si="19">D34-D35</f>
        <v>110682.6</v>
      </c>
      <c r="E38" s="6">
        <f t="shared" si="19"/>
        <v>110693.55</v>
      </c>
      <c r="F38" s="6">
        <f t="shared" si="19"/>
        <v>110704.5</v>
      </c>
      <c r="G38" s="6">
        <f t="shared" si="19"/>
        <v>110715.45</v>
      </c>
      <c r="H38" s="6">
        <f t="shared" si="19"/>
        <v>1327862.7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60000</v>
      </c>
      <c r="D41" s="6">
        <f t="shared" ref="D41:G41" si="20">$H$41/12</f>
        <v>60000</v>
      </c>
      <c r="E41" s="6">
        <f t="shared" si="20"/>
        <v>60000</v>
      </c>
      <c r="F41" s="6">
        <f t="shared" si="20"/>
        <v>60000</v>
      </c>
      <c r="G41" s="6">
        <f t="shared" si="20"/>
        <v>60000</v>
      </c>
      <c r="H41" s="6">
        <f>'Profit and Loss Statement'!E13</f>
        <v>720000</v>
      </c>
    </row>
    <row r="42" spans="2:8">
      <c r="B42" s="33" t="str">
        <f>B14</f>
        <v>Facility Costs</v>
      </c>
      <c r="C42" s="6">
        <f>$H$42/12</f>
        <v>4254.916666666667</v>
      </c>
      <c r="D42" s="6">
        <f t="shared" ref="D42:G42" si="21">$H$42/12</f>
        <v>4254.916666666667</v>
      </c>
      <c r="E42" s="6">
        <f t="shared" si="21"/>
        <v>4254.916666666667</v>
      </c>
      <c r="F42" s="6">
        <f t="shared" si="21"/>
        <v>4254.916666666667</v>
      </c>
      <c r="G42" s="6">
        <f t="shared" si="21"/>
        <v>4254.916666666667</v>
      </c>
      <c r="H42" s="6">
        <f>'Profit and Loss Statement'!E14</f>
        <v>51059</v>
      </c>
    </row>
    <row r="43" spans="2:8">
      <c r="B43" s="33" t="str">
        <f t="shared" ref="B43:B47" si="22">B15</f>
        <v>General and Administrative</v>
      </c>
      <c r="C43" s="6">
        <f>$H$43/12</f>
        <v>3331.7833499999997</v>
      </c>
      <c r="D43" s="6">
        <f t="shared" ref="D43:G43" si="23">$H$43/12</f>
        <v>3331.7833499999997</v>
      </c>
      <c r="E43" s="6">
        <f t="shared" si="23"/>
        <v>3331.7833499999997</v>
      </c>
      <c r="F43" s="6">
        <f t="shared" si="23"/>
        <v>3331.7833499999997</v>
      </c>
      <c r="G43" s="6">
        <f t="shared" si="23"/>
        <v>3331.7833499999997</v>
      </c>
      <c r="H43" s="6">
        <f>'Profit and Loss Statement'!E15</f>
        <v>39981.400199999996</v>
      </c>
    </row>
    <row r="44" spans="2:8">
      <c r="B44" s="33" t="str">
        <f t="shared" si="22"/>
        <v>Equipment Costs</v>
      </c>
      <c r="C44" s="6">
        <f>$H$44/12</f>
        <v>3225.6756</v>
      </c>
      <c r="D44" s="6">
        <f t="shared" ref="D44:G44" si="24">$H$44/12</f>
        <v>3225.6756</v>
      </c>
      <c r="E44" s="6">
        <f t="shared" si="24"/>
        <v>3225.6756</v>
      </c>
      <c r="F44" s="6">
        <f t="shared" si="24"/>
        <v>3225.6756</v>
      </c>
      <c r="G44" s="6">
        <f t="shared" si="24"/>
        <v>3225.6756</v>
      </c>
      <c r="H44" s="6">
        <f>'Profit and Loss Statement'!E16</f>
        <v>38708.107199999999</v>
      </c>
    </row>
    <row r="45" spans="2:8">
      <c r="B45" s="33" t="str">
        <f t="shared" si="22"/>
        <v>Insurance Costs</v>
      </c>
      <c r="C45" s="6">
        <f>$H$45/12</f>
        <v>3600</v>
      </c>
      <c r="D45" s="6">
        <f t="shared" ref="D45:G45" si="25">$H$45/12</f>
        <v>3600</v>
      </c>
      <c r="E45" s="6">
        <f t="shared" si="25"/>
        <v>3600</v>
      </c>
      <c r="F45" s="6">
        <f t="shared" si="25"/>
        <v>3600</v>
      </c>
      <c r="G45" s="6">
        <f t="shared" si="25"/>
        <v>3600</v>
      </c>
      <c r="H45" s="6">
        <f>'Profit and Loss Statement'!E17</f>
        <v>43200</v>
      </c>
    </row>
    <row r="46" spans="2:8">
      <c r="B46" s="33" t="str">
        <f t="shared" si="22"/>
        <v>Marketing</v>
      </c>
      <c r="C46" s="6">
        <f>$H$46/12</f>
        <v>2546.5859999999998</v>
      </c>
      <c r="D46" s="6">
        <f t="shared" ref="D46:G46" si="26">$H$46/12</f>
        <v>2546.5859999999998</v>
      </c>
      <c r="E46" s="6">
        <f t="shared" si="26"/>
        <v>2546.5859999999998</v>
      </c>
      <c r="F46" s="6">
        <f t="shared" si="26"/>
        <v>2546.5859999999998</v>
      </c>
      <c r="G46" s="6">
        <f t="shared" si="26"/>
        <v>2546.5859999999998</v>
      </c>
      <c r="H46" s="6">
        <f>'Profit and Loss Statement'!E18</f>
        <v>30559.031999999999</v>
      </c>
    </row>
    <row r="47" spans="2:8">
      <c r="B47" s="33" t="str">
        <f t="shared" si="22"/>
        <v>Professional Fees and Licensure</v>
      </c>
      <c r="C47" s="6">
        <f>$H$47/12</f>
        <v>2292.4166666666665</v>
      </c>
      <c r="D47" s="6">
        <f t="shared" ref="D47:G47" si="27">$H$47/12</f>
        <v>2292.4166666666665</v>
      </c>
      <c r="E47" s="6">
        <f t="shared" si="27"/>
        <v>2292.4166666666665</v>
      </c>
      <c r="F47" s="6">
        <f t="shared" si="27"/>
        <v>2292.4166666666665</v>
      </c>
      <c r="G47" s="6">
        <f t="shared" si="27"/>
        <v>2292.4166666666665</v>
      </c>
      <c r="H47" s="6">
        <f>'Profit and Loss Statement'!E19</f>
        <v>27509</v>
      </c>
    </row>
    <row r="48" spans="2:8">
      <c r="B48" s="29" t="s">
        <v>14</v>
      </c>
      <c r="C48" s="6">
        <f>$H$48/12</f>
        <v>4590</v>
      </c>
      <c r="D48" s="6">
        <f t="shared" ref="D48:G48" si="28">$H$48/12</f>
        <v>4590</v>
      </c>
      <c r="E48" s="6">
        <f t="shared" si="28"/>
        <v>4590</v>
      </c>
      <c r="F48" s="6">
        <f t="shared" si="28"/>
        <v>4590</v>
      </c>
      <c r="G48" s="6">
        <f t="shared" si="28"/>
        <v>4590</v>
      </c>
      <c r="H48" s="6">
        <f>'Profit and Loss Statement'!E20</f>
        <v>55080</v>
      </c>
    </row>
    <row r="49" spans="2:15">
      <c r="B49" s="28" t="s">
        <v>8</v>
      </c>
      <c r="C49" s="6">
        <f>SUM(C41:C48)</f>
        <v>83841.378283333339</v>
      </c>
      <c r="D49" s="6">
        <f t="shared" ref="D49:G49" si="29">SUM(D41:D48)</f>
        <v>83841.378283333339</v>
      </c>
      <c r="E49" s="6">
        <f t="shared" si="29"/>
        <v>83841.378283333339</v>
      </c>
      <c r="F49" s="6">
        <f t="shared" si="29"/>
        <v>83841.378283333339</v>
      </c>
      <c r="G49" s="6">
        <f t="shared" si="29"/>
        <v>83841.378283333339</v>
      </c>
      <c r="H49" s="6">
        <f>'Profit and Loss Statement'!E21</f>
        <v>1006096.5394</v>
      </c>
    </row>
    <row r="50" spans="2:15">
      <c r="B50" s="30"/>
    </row>
    <row r="51" spans="2:15">
      <c r="B51" s="24" t="s">
        <v>47</v>
      </c>
      <c r="C51" s="25">
        <f>C38-C49</f>
        <v>26830.271716666655</v>
      </c>
      <c r="D51" s="25">
        <f t="shared" ref="D51:H51" si="30">D38-D49</f>
        <v>26841.221716666667</v>
      </c>
      <c r="E51" s="25">
        <f t="shared" si="30"/>
        <v>26852.171716666664</v>
      </c>
      <c r="F51" s="25">
        <f t="shared" si="30"/>
        <v>26863.121716666661</v>
      </c>
      <c r="G51" s="25">
        <f t="shared" si="30"/>
        <v>26874.071716666658</v>
      </c>
      <c r="H51" s="25">
        <f t="shared" si="30"/>
        <v>321766.16059999994</v>
      </c>
    </row>
    <row r="52" spans="2:15">
      <c r="B52" s="29" t="s">
        <v>15</v>
      </c>
      <c r="C52" s="6">
        <f>(C34/$H$34)*$H$52</f>
        <v>6440.2508229516088</v>
      </c>
      <c r="D52" s="6">
        <f t="shared" ref="D52:G52" si="31">(D34/$H$34)*$H$52</f>
        <v>6440.8880299193497</v>
      </c>
      <c r="E52" s="6">
        <f t="shared" si="31"/>
        <v>6441.5252368870897</v>
      </c>
      <c r="F52" s="6">
        <f t="shared" si="31"/>
        <v>6442.1624438548306</v>
      </c>
      <c r="G52" s="6">
        <f t="shared" si="31"/>
        <v>6442.7996508225706</v>
      </c>
      <c r="H52" s="6">
        <f>'Profit and Loss Statement'!E24</f>
        <v>77271.540149999986</v>
      </c>
    </row>
    <row r="53" spans="2:15">
      <c r="B53" s="29" t="s">
        <v>102</v>
      </c>
      <c r="C53" s="6">
        <f>(C34/$H$34)*$H$53</f>
        <v>1288.0501645903219</v>
      </c>
      <c r="D53" s="6">
        <f t="shared" ref="D53:G53" si="32">(D34/$H$34)*$H$53</f>
        <v>1288.1776059838701</v>
      </c>
      <c r="E53" s="6">
        <f t="shared" si="32"/>
        <v>1288.3050473774181</v>
      </c>
      <c r="F53" s="6">
        <f t="shared" si="32"/>
        <v>1288.4324887709663</v>
      </c>
      <c r="G53" s="6">
        <f t="shared" si="32"/>
        <v>1288.5599301645141</v>
      </c>
      <c r="H53" s="6">
        <f>'Profit and Loss Statement'!E25</f>
        <v>15454.308029999998</v>
      </c>
    </row>
    <row r="54" spans="2:15">
      <c r="B54" s="29" t="s">
        <v>16</v>
      </c>
      <c r="C54" s="6">
        <f>'Loan Amortization Table'!D21</f>
        <v>0</v>
      </c>
      <c r="D54" s="6">
        <f>'Loan Amortization Table'!D22</f>
        <v>0</v>
      </c>
      <c r="E54" s="6">
        <f>'Loan Amortization Table'!D23</f>
        <v>0</v>
      </c>
      <c r="F54" s="6">
        <f>'Loan Amortization Table'!D24</f>
        <v>0</v>
      </c>
      <c r="G54" s="6">
        <f>'Loan Amortization Table'!D25</f>
        <v>0</v>
      </c>
      <c r="H54" s="6">
        <f>'Profit and Loss Statement'!E26</f>
        <v>0</v>
      </c>
    </row>
    <row r="55" spans="2:15">
      <c r="B55" s="29" t="s">
        <v>54</v>
      </c>
      <c r="C55" s="6">
        <f>$H$55/12</f>
        <v>1056.6666666666667</v>
      </c>
      <c r="D55" s="6">
        <f t="shared" ref="D55:G55" si="33">$H$55/12</f>
        <v>1056.6666666666667</v>
      </c>
      <c r="E55" s="6">
        <f t="shared" si="33"/>
        <v>1056.6666666666667</v>
      </c>
      <c r="F55" s="6">
        <f t="shared" si="33"/>
        <v>1056.6666666666667</v>
      </c>
      <c r="G55" s="6">
        <f t="shared" si="33"/>
        <v>1056.6666666666667</v>
      </c>
      <c r="H55" s="6">
        <f>'Profit and Loss Statement'!E27</f>
        <v>12680</v>
      </c>
    </row>
    <row r="56" spans="2:15">
      <c r="B56" s="38" t="s">
        <v>17</v>
      </c>
      <c r="C56" s="39">
        <f>C51-SUM(C52:C55)</f>
        <v>18045.304062458061</v>
      </c>
      <c r="D56" s="39">
        <f t="shared" ref="D56:G56" si="34">D51-SUM(D52:D55)</f>
        <v>18055.489414096781</v>
      </c>
      <c r="E56" s="39">
        <f t="shared" si="34"/>
        <v>18065.67476573549</v>
      </c>
      <c r="F56" s="39">
        <f t="shared" si="34"/>
        <v>18075.860117374199</v>
      </c>
      <c r="G56" s="39">
        <f t="shared" si="34"/>
        <v>18086.045469012905</v>
      </c>
      <c r="H56" s="39">
        <f>'Profit and Loss Statement'!E28</f>
        <v>216360.31241999997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763975.8</v>
      </c>
      <c r="D62" s="6">
        <f t="shared" ref="D62:F62" si="38">$G$62*M62</f>
        <v>763975.8</v>
      </c>
      <c r="E62" s="6">
        <f t="shared" si="38"/>
        <v>763975.8</v>
      </c>
      <c r="F62" s="6">
        <f t="shared" si="38"/>
        <v>763975.8</v>
      </c>
      <c r="G62" s="6">
        <f>'Profit and Loss Statement'!F6</f>
        <v>3055903.2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365616.99</v>
      </c>
      <c r="D63" s="6">
        <f t="shared" ref="D63:F63" si="39">$G$63*M62</f>
        <v>365616.99</v>
      </c>
      <c r="E63" s="6">
        <f t="shared" si="39"/>
        <v>365616.99</v>
      </c>
      <c r="F63" s="6">
        <f t="shared" si="39"/>
        <v>365616.99</v>
      </c>
      <c r="G63" s="6">
        <f>'Profit and Loss Statement'!F7</f>
        <v>1462467.96</v>
      </c>
    </row>
    <row r="64" spans="2:15">
      <c r="B64" s="29" t="s">
        <v>12</v>
      </c>
      <c r="C64" s="17">
        <f>1-(C63/C62)</f>
        <v>0.52142857142857146</v>
      </c>
      <c r="D64" s="17">
        <f t="shared" ref="D64" si="40">1-(D63/D62)</f>
        <v>0.52142857142857146</v>
      </c>
      <c r="E64" s="17">
        <f t="shared" ref="E64" si="41">1-(E63/E62)</f>
        <v>0.52142857142857146</v>
      </c>
      <c r="F64" s="17">
        <f t="shared" ref="F64:G64" si="42">1-(F63/F62)</f>
        <v>0.52142857142857146</v>
      </c>
      <c r="G64" s="17">
        <f t="shared" si="42"/>
        <v>0.52142857142857146</v>
      </c>
    </row>
    <row r="65" spans="2:7">
      <c r="B65" s="30"/>
    </row>
    <row r="66" spans="2:7">
      <c r="B66" s="37" t="s">
        <v>10</v>
      </c>
      <c r="C66" s="6">
        <f>C62-C63</f>
        <v>398358.81000000006</v>
      </c>
      <c r="D66" s="6">
        <f t="shared" ref="D66:G66" si="43">D62-D63</f>
        <v>398358.81000000006</v>
      </c>
      <c r="E66" s="6">
        <f t="shared" si="43"/>
        <v>398358.81000000006</v>
      </c>
      <c r="F66" s="6">
        <f t="shared" si="43"/>
        <v>398358.81000000006</v>
      </c>
      <c r="G66" s="6">
        <f t="shared" si="43"/>
        <v>1593435.2400000002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185400</v>
      </c>
      <c r="D69" s="6">
        <f t="shared" ref="D69:F69" si="44">$G$69/4</f>
        <v>185400</v>
      </c>
      <c r="E69" s="6">
        <f t="shared" si="44"/>
        <v>185400</v>
      </c>
      <c r="F69" s="6">
        <f t="shared" si="44"/>
        <v>185400</v>
      </c>
      <c r="G69" s="6">
        <f>'Profit and Loss Statement'!F13</f>
        <v>741600</v>
      </c>
    </row>
    <row r="70" spans="2:7">
      <c r="B70" s="33" t="str">
        <f>B42</f>
        <v>Facility Costs</v>
      </c>
      <c r="C70" s="6">
        <f>$G$70/4</f>
        <v>13147.692500000001</v>
      </c>
      <c r="D70" s="6">
        <f t="shared" ref="D70:F70" si="45">$G$70/4</f>
        <v>13147.692500000001</v>
      </c>
      <c r="E70" s="6">
        <f t="shared" si="45"/>
        <v>13147.692500000001</v>
      </c>
      <c r="F70" s="6">
        <f t="shared" si="45"/>
        <v>13147.692500000001</v>
      </c>
      <c r="G70" s="6">
        <f>'Profit and Loss Statement'!F14</f>
        <v>52590.770000000004</v>
      </c>
    </row>
    <row r="71" spans="2:7">
      <c r="B71" s="33" t="str">
        <f t="shared" ref="B71:B75" si="46">B43</f>
        <v>General and Administrative</v>
      </c>
      <c r="C71" s="6">
        <f>$G$71/4</f>
        <v>11994.42006</v>
      </c>
      <c r="D71" s="6">
        <f t="shared" ref="D71:F71" si="47">$G$71/4</f>
        <v>11994.42006</v>
      </c>
      <c r="E71" s="6">
        <f t="shared" si="47"/>
        <v>11994.42006</v>
      </c>
      <c r="F71" s="6">
        <f t="shared" si="47"/>
        <v>11994.42006</v>
      </c>
      <c r="G71" s="6">
        <f>'Profit and Loss Statement'!F15</f>
        <v>47977.680240000002</v>
      </c>
    </row>
    <row r="72" spans="2:7">
      <c r="B72" s="33" t="str">
        <f t="shared" si="46"/>
        <v>Equipment Costs</v>
      </c>
      <c r="C72" s="6">
        <f>$G$72/4</f>
        <v>11612.43216</v>
      </c>
      <c r="D72" s="6">
        <f t="shared" ref="D72:F72" si="48">$G$72/4</f>
        <v>11612.43216</v>
      </c>
      <c r="E72" s="6">
        <f t="shared" si="48"/>
        <v>11612.43216</v>
      </c>
      <c r="F72" s="6">
        <f t="shared" si="48"/>
        <v>11612.43216</v>
      </c>
      <c r="G72" s="6">
        <f>'Profit and Loss Statement'!F16</f>
        <v>46449.728640000001</v>
      </c>
    </row>
    <row r="73" spans="2:7">
      <c r="B73" s="33" t="str">
        <f t="shared" si="46"/>
        <v>Insurance Costs</v>
      </c>
      <c r="C73" s="6">
        <f>$G$73/4</f>
        <v>11124</v>
      </c>
      <c r="D73" s="6">
        <f t="shared" ref="D73:F73" si="49">$G$73/4</f>
        <v>11124</v>
      </c>
      <c r="E73" s="6">
        <f t="shared" si="49"/>
        <v>11124</v>
      </c>
      <c r="F73" s="6">
        <f t="shared" si="49"/>
        <v>11124</v>
      </c>
      <c r="G73" s="6">
        <f>'Profit and Loss Statement'!F17</f>
        <v>44496</v>
      </c>
    </row>
    <row r="74" spans="2:7">
      <c r="B74" s="33" t="str">
        <f t="shared" si="46"/>
        <v>Marketing</v>
      </c>
      <c r="C74" s="6">
        <f>$G$74/4</f>
        <v>9167.7096000000001</v>
      </c>
      <c r="D74" s="6">
        <f t="shared" ref="D74:F74" si="50">$G$74/4</f>
        <v>9167.7096000000001</v>
      </c>
      <c r="E74" s="6">
        <f t="shared" si="50"/>
        <v>9167.7096000000001</v>
      </c>
      <c r="F74" s="6">
        <f t="shared" si="50"/>
        <v>9167.7096000000001</v>
      </c>
      <c r="G74" s="6">
        <f>'Profit and Loss Statement'!F18</f>
        <v>36670.838400000001</v>
      </c>
    </row>
    <row r="75" spans="2:7">
      <c r="B75" s="33" t="str">
        <f t="shared" si="46"/>
        <v>Professional Fees and Licensure</v>
      </c>
      <c r="C75" s="6">
        <f>$G$75/4</f>
        <v>9284.2875000000004</v>
      </c>
      <c r="D75" s="6">
        <f t="shared" ref="D75:F75" si="51">$G$75/4</f>
        <v>9284.2875000000004</v>
      </c>
      <c r="E75" s="6">
        <f t="shared" si="51"/>
        <v>9284.2875000000004</v>
      </c>
      <c r="F75" s="6">
        <f t="shared" si="51"/>
        <v>9284.2875000000004</v>
      </c>
      <c r="G75" s="6">
        <f>'Profit and Loss Statement'!F19</f>
        <v>37137.15</v>
      </c>
    </row>
    <row r="76" spans="2:7">
      <c r="B76" s="29" t="s">
        <v>14</v>
      </c>
      <c r="C76" s="6">
        <f>$G$76/4</f>
        <v>14183.1</v>
      </c>
      <c r="D76" s="6">
        <f t="shared" ref="D76:F76" si="52">$G$76/4</f>
        <v>14183.1</v>
      </c>
      <c r="E76" s="6">
        <f t="shared" si="52"/>
        <v>14183.1</v>
      </c>
      <c r="F76" s="6">
        <f t="shared" si="52"/>
        <v>14183.1</v>
      </c>
      <c r="G76" s="6">
        <f>'Profit and Loss Statement'!F20</f>
        <v>56732.4</v>
      </c>
    </row>
    <row r="77" spans="2:7">
      <c r="B77" s="28" t="s">
        <v>8</v>
      </c>
      <c r="C77" s="6">
        <f>SUM(C69:C76)</f>
        <v>265913.64182000002</v>
      </c>
      <c r="D77" s="6">
        <f t="shared" ref="D77:F77" si="53">SUM(D69:D76)</f>
        <v>265913.64182000002</v>
      </c>
      <c r="E77" s="6">
        <f t="shared" si="53"/>
        <v>265913.64182000002</v>
      </c>
      <c r="F77" s="6">
        <f t="shared" si="53"/>
        <v>265913.64182000002</v>
      </c>
      <c r="G77" s="6">
        <f>SUM(G69:G76)</f>
        <v>1063654.5672800001</v>
      </c>
    </row>
    <row r="78" spans="2:7">
      <c r="B78" s="30"/>
    </row>
    <row r="79" spans="2:7">
      <c r="B79" s="24" t="s">
        <v>47</v>
      </c>
      <c r="C79" s="25">
        <f>C66-C77</f>
        <v>132445.16818000004</v>
      </c>
      <c r="D79" s="25">
        <f t="shared" ref="D79:F79" si="54">D66-D77</f>
        <v>132445.16818000004</v>
      </c>
      <c r="E79" s="25">
        <f t="shared" si="54"/>
        <v>132445.16818000004</v>
      </c>
      <c r="F79" s="25">
        <f t="shared" si="54"/>
        <v>132445.16818000004</v>
      </c>
      <c r="G79" s="25">
        <f t="shared" ref="G79" si="55">G66-G77</f>
        <v>529780.67272000015</v>
      </c>
    </row>
    <row r="80" spans="2:7">
      <c r="B80" s="29" t="s">
        <v>15</v>
      </c>
      <c r="C80" s="6">
        <f>$G$80*L62</f>
        <v>32318.792045000009</v>
      </c>
      <c r="D80" s="6">
        <f t="shared" ref="D80:F80" si="56">$G$80*M62</f>
        <v>32318.792045000009</v>
      </c>
      <c r="E80" s="6">
        <f t="shared" si="56"/>
        <v>32318.792045000009</v>
      </c>
      <c r="F80" s="6">
        <f t="shared" si="56"/>
        <v>32318.792045000009</v>
      </c>
      <c r="G80" s="6">
        <f>'Profit and Loss Statement'!F24</f>
        <v>129275.16818000004</v>
      </c>
    </row>
    <row r="81" spans="2:15">
      <c r="B81" s="29" t="s">
        <v>102</v>
      </c>
      <c r="C81" s="6">
        <f>$G$81*L62</f>
        <v>6463.7584090000018</v>
      </c>
      <c r="D81" s="6">
        <f t="shared" ref="D81:F81" si="57">$G$81*M62</f>
        <v>6463.7584090000018</v>
      </c>
      <c r="E81" s="6">
        <f t="shared" si="57"/>
        <v>6463.7584090000018</v>
      </c>
      <c r="F81" s="6">
        <f t="shared" si="57"/>
        <v>6463.7584090000018</v>
      </c>
      <c r="G81" s="6">
        <f>'Profit and Loss Statement'!F25</f>
        <v>25855.033636000007</v>
      </c>
    </row>
    <row r="82" spans="2:15">
      <c r="B82" s="29" t="s">
        <v>16</v>
      </c>
      <c r="C82" s="6">
        <f>SUM('Loan Amortization Table'!D26:D28)</f>
        <v>0</v>
      </c>
      <c r="D82" s="6">
        <f>SUM('Loan Amortization Table'!D29:D31)</f>
        <v>0</v>
      </c>
      <c r="E82" s="6">
        <f>SUM('Loan Amortization Table'!D32:D34)</f>
        <v>0</v>
      </c>
      <c r="F82" s="6">
        <f>SUM('Loan Amortization Table'!D35:D37)</f>
        <v>0</v>
      </c>
      <c r="G82" s="6">
        <f>'Profit and Loss Statement'!F26</f>
        <v>0</v>
      </c>
    </row>
    <row r="83" spans="2:15">
      <c r="B83" s="29" t="s">
        <v>54</v>
      </c>
      <c r="C83" s="6">
        <f>$G$83/4</f>
        <v>3170</v>
      </c>
      <c r="D83" s="6">
        <f t="shared" ref="D83:F83" si="58">$G$83/4</f>
        <v>3170</v>
      </c>
      <c r="E83" s="6">
        <f t="shared" si="58"/>
        <v>3170</v>
      </c>
      <c r="F83" s="6">
        <f t="shared" si="58"/>
        <v>3170</v>
      </c>
      <c r="G83" s="6">
        <f>'Profit and Loss Statement'!F27</f>
        <v>12680</v>
      </c>
    </row>
    <row r="84" spans="2:15">
      <c r="B84" s="38" t="s">
        <v>17</v>
      </c>
      <c r="C84" s="39">
        <f>C79-SUM(C80:C83)</f>
        <v>90492.617726000026</v>
      </c>
      <c r="D84" s="39">
        <f t="shared" ref="D84:F84" si="59">D79-SUM(D80:D83)</f>
        <v>90492.617726000026</v>
      </c>
      <c r="E84" s="39">
        <f t="shared" si="59"/>
        <v>90492.617726000026</v>
      </c>
      <c r="F84" s="39">
        <f t="shared" si="59"/>
        <v>90492.617726000026</v>
      </c>
      <c r="G84" s="39">
        <f>'Profit and Loss Statement'!F28</f>
        <v>361970.4709040001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878572.16999999993</v>
      </c>
      <c r="D92" s="6">
        <f t="shared" ref="D92:F92" si="64">$G$92*M92</f>
        <v>878572.16999999993</v>
      </c>
      <c r="E92" s="6">
        <f t="shared" si="64"/>
        <v>878572.16999999993</v>
      </c>
      <c r="F92" s="6">
        <f t="shared" si="64"/>
        <v>878572.16999999993</v>
      </c>
      <c r="G92" s="6">
        <f>'Profit and Loss Statement'!G6</f>
        <v>3514288.6799999997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420459.53849999997</v>
      </c>
      <c r="D93" s="6">
        <f t="shared" ref="D93:F93" si="65">$G$93*M92</f>
        <v>420459.53849999997</v>
      </c>
      <c r="E93" s="6">
        <f t="shared" si="65"/>
        <v>420459.53849999997</v>
      </c>
      <c r="F93" s="6">
        <f t="shared" si="65"/>
        <v>420459.53849999997</v>
      </c>
      <c r="G93" s="6">
        <f>'Profit and Loss Statement'!G7</f>
        <v>1681838.1539999999</v>
      </c>
    </row>
    <row r="94" spans="2:15">
      <c r="B94" s="29" t="s">
        <v>12</v>
      </c>
      <c r="C94" s="17">
        <f>1-(C93/C92)</f>
        <v>0.52142857142857135</v>
      </c>
      <c r="D94" s="17">
        <f t="shared" ref="D94:G94" si="66">1-(D93/D92)</f>
        <v>0.52142857142857135</v>
      </c>
      <c r="E94" s="17">
        <f t="shared" si="66"/>
        <v>0.52142857142857135</v>
      </c>
      <c r="F94" s="17">
        <f t="shared" si="66"/>
        <v>0.52142857142857135</v>
      </c>
      <c r="G94" s="17">
        <f t="shared" si="66"/>
        <v>0.52142857142857135</v>
      </c>
    </row>
    <row r="95" spans="2:15">
      <c r="B95" s="30"/>
    </row>
    <row r="96" spans="2:15">
      <c r="B96" s="37" t="s">
        <v>10</v>
      </c>
      <c r="C96" s="6">
        <f>C92-C93</f>
        <v>458112.63149999996</v>
      </c>
      <c r="D96" s="6">
        <f t="shared" ref="D96:G96" si="67">D92-D93</f>
        <v>458112.63149999996</v>
      </c>
      <c r="E96" s="6">
        <f t="shared" si="67"/>
        <v>458112.63149999996</v>
      </c>
      <c r="F96" s="6">
        <f t="shared" si="67"/>
        <v>458112.63149999996</v>
      </c>
      <c r="G96" s="6">
        <f t="shared" si="67"/>
        <v>1832450.5259999998</v>
      </c>
    </row>
    <row r="97" spans="2:20">
      <c r="B97" s="30"/>
    </row>
    <row r="98" spans="2:20">
      <c r="B98" s="30" t="s">
        <v>13</v>
      </c>
      <c r="T98" s="112" t="s">
        <v>138</v>
      </c>
    </row>
    <row r="99" spans="2:20">
      <c r="B99" s="31" t="s">
        <v>53</v>
      </c>
      <c r="C99" s="6">
        <f>$G$99/4</f>
        <v>190962</v>
      </c>
      <c r="D99" s="6">
        <f>$G$99/4</f>
        <v>190962</v>
      </c>
      <c r="E99" s="6">
        <f>$G$99/4</f>
        <v>190962</v>
      </c>
      <c r="F99" s="6">
        <f>$G$99/4</f>
        <v>190962</v>
      </c>
      <c r="G99" s="6">
        <f>'Profit and Loss Statement'!G13</f>
        <v>763848</v>
      </c>
    </row>
    <row r="100" spans="2:20">
      <c r="B100" s="33" t="str">
        <f>B70</f>
        <v>Facility Costs</v>
      </c>
      <c r="C100" s="6">
        <f>$G$100/4</f>
        <v>13542.123275000002</v>
      </c>
      <c r="D100" s="6">
        <f t="shared" ref="D100:F100" si="68">$G$100/4</f>
        <v>13542.123275000002</v>
      </c>
      <c r="E100" s="6">
        <f t="shared" si="68"/>
        <v>13542.123275000002</v>
      </c>
      <c r="F100" s="6">
        <f t="shared" si="68"/>
        <v>13542.123275000002</v>
      </c>
      <c r="G100" s="6">
        <f>'Profit and Loss Statement'!G14</f>
        <v>54168.493100000007</v>
      </c>
    </row>
    <row r="101" spans="2:20">
      <c r="B101" s="33" t="str">
        <f t="shared" ref="B101:B105" si="69">B71</f>
        <v>General and Administrative</v>
      </c>
      <c r="C101" s="6">
        <f>$G101/4</f>
        <v>13793.583068999998</v>
      </c>
      <c r="D101" s="6">
        <f t="shared" ref="D101:F101" si="70">$G101/4</f>
        <v>13793.583068999998</v>
      </c>
      <c r="E101" s="6">
        <f t="shared" si="70"/>
        <v>13793.583068999998</v>
      </c>
      <c r="F101" s="6">
        <f t="shared" si="70"/>
        <v>13793.583068999998</v>
      </c>
      <c r="G101" s="6">
        <f>'Profit and Loss Statement'!G15</f>
        <v>55174.332275999994</v>
      </c>
    </row>
    <row r="102" spans="2:20">
      <c r="B102" s="33" t="str">
        <f t="shared" si="69"/>
        <v>Equipment Costs</v>
      </c>
      <c r="C102" s="6">
        <f>$G$102/4</f>
        <v>13354.296983999999</v>
      </c>
      <c r="D102" s="6">
        <f t="shared" ref="D102:F102" si="71">$G$102/4</f>
        <v>13354.296983999999</v>
      </c>
      <c r="E102" s="6">
        <f t="shared" si="71"/>
        <v>13354.296983999999</v>
      </c>
      <c r="F102" s="6">
        <f t="shared" si="71"/>
        <v>13354.296983999999</v>
      </c>
      <c r="G102" s="6">
        <f>'Profit and Loss Statement'!G16</f>
        <v>53417.187935999995</v>
      </c>
    </row>
    <row r="103" spans="2:20">
      <c r="B103" s="33" t="str">
        <f t="shared" si="69"/>
        <v>Insurance Costs</v>
      </c>
      <c r="C103" s="6">
        <f>$G$103/4</f>
        <v>11457.72</v>
      </c>
      <c r="D103" s="6">
        <f t="shared" ref="D103:F103" si="72">$G$103/4</f>
        <v>11457.72</v>
      </c>
      <c r="E103" s="6">
        <f t="shared" si="72"/>
        <v>11457.72</v>
      </c>
      <c r="F103" s="6">
        <f t="shared" si="72"/>
        <v>11457.72</v>
      </c>
      <c r="G103" s="6">
        <f>'Profit and Loss Statement'!G17</f>
        <v>45830.879999999997</v>
      </c>
    </row>
    <row r="104" spans="2:20">
      <c r="B104" s="33" t="str">
        <f t="shared" si="69"/>
        <v>Marketing</v>
      </c>
      <c r="C104" s="6">
        <f>$G$104/4</f>
        <v>10542.866039999999</v>
      </c>
      <c r="D104" s="6">
        <f t="shared" ref="D104:F104" si="73">$G$104/4</f>
        <v>10542.866039999999</v>
      </c>
      <c r="E104" s="6">
        <f t="shared" si="73"/>
        <v>10542.866039999999</v>
      </c>
      <c r="F104" s="6">
        <f t="shared" si="73"/>
        <v>10542.866039999999</v>
      </c>
      <c r="G104" s="6">
        <f>'Profit and Loss Statement'!G18</f>
        <v>42171.464159999996</v>
      </c>
    </row>
    <row r="105" spans="2:20">
      <c r="B105" s="33" t="str">
        <f t="shared" si="69"/>
        <v>Professional Fees and Licensure</v>
      </c>
      <c r="C105" s="6">
        <f>$G$105/4</f>
        <v>12533.788125000001</v>
      </c>
      <c r="D105" s="6">
        <f t="shared" ref="D105:F105" si="74">$G$105/4</f>
        <v>12533.788125000001</v>
      </c>
      <c r="E105" s="6">
        <f t="shared" si="74"/>
        <v>12533.788125000001</v>
      </c>
      <c r="F105" s="6">
        <f t="shared" si="74"/>
        <v>12533.788125000001</v>
      </c>
      <c r="G105" s="6">
        <f>'Profit and Loss Statement'!G19</f>
        <v>50135.152500000004</v>
      </c>
    </row>
    <row r="106" spans="2:20">
      <c r="B106" s="29" t="s">
        <v>14</v>
      </c>
      <c r="C106" s="6">
        <f>$G$106/4</f>
        <v>14608.592999999999</v>
      </c>
      <c r="D106" s="6">
        <f t="shared" ref="D106:F106" si="75">$G$106/4</f>
        <v>14608.592999999999</v>
      </c>
      <c r="E106" s="6">
        <f t="shared" si="75"/>
        <v>14608.592999999999</v>
      </c>
      <c r="F106" s="6">
        <f t="shared" si="75"/>
        <v>14608.592999999999</v>
      </c>
      <c r="G106" s="6">
        <f>'Profit and Loss Statement'!G20</f>
        <v>58434.371999999996</v>
      </c>
    </row>
    <row r="107" spans="2:20">
      <c r="B107" s="28" t="s">
        <v>8</v>
      </c>
      <c r="C107" s="6">
        <f>SUM(C99:C106)</f>
        <v>280794.97049299994</v>
      </c>
      <c r="D107" s="6">
        <f t="shared" ref="D107:F107" si="76">SUM(D99:D106)</f>
        <v>280794.97049299994</v>
      </c>
      <c r="E107" s="6">
        <f t="shared" si="76"/>
        <v>280794.97049299994</v>
      </c>
      <c r="F107" s="6">
        <f t="shared" si="76"/>
        <v>280794.97049299994</v>
      </c>
      <c r="G107" s="6">
        <f>SUM(G99:G106)</f>
        <v>1123179.8819719998</v>
      </c>
    </row>
    <row r="108" spans="2:20">
      <c r="B108" s="30"/>
    </row>
    <row r="109" spans="2:20">
      <c r="B109" s="24" t="s">
        <v>47</v>
      </c>
      <c r="C109" s="25">
        <f>C96-C107</f>
        <v>177317.66100700002</v>
      </c>
      <c r="D109" s="25">
        <f t="shared" ref="D109:G109" si="77">D96-D107</f>
        <v>177317.66100700002</v>
      </c>
      <c r="E109" s="25">
        <f t="shared" si="77"/>
        <v>177317.66100700002</v>
      </c>
      <c r="F109" s="25">
        <f t="shared" si="77"/>
        <v>177317.66100700002</v>
      </c>
      <c r="G109" s="25">
        <f t="shared" si="77"/>
        <v>709270.64402800007</v>
      </c>
    </row>
    <row r="110" spans="2:20">
      <c r="B110" s="29" t="s">
        <v>15</v>
      </c>
      <c r="C110" s="6">
        <f>$G$110*L92</f>
        <v>43536.915251750004</v>
      </c>
      <c r="D110" s="6">
        <f t="shared" ref="D110:F110" si="78">$G$110*M92</f>
        <v>43536.915251750004</v>
      </c>
      <c r="E110" s="6">
        <f t="shared" si="78"/>
        <v>43536.915251750004</v>
      </c>
      <c r="F110" s="6">
        <f t="shared" si="78"/>
        <v>43536.915251750004</v>
      </c>
      <c r="G110" s="6">
        <f>'Profit and Loss Statement'!G24</f>
        <v>174147.66100700002</v>
      </c>
    </row>
    <row r="111" spans="2:20">
      <c r="B111" s="29" t="s">
        <v>102</v>
      </c>
      <c r="C111" s="6">
        <f>$G$111*L92</f>
        <v>8707.3830503500012</v>
      </c>
      <c r="D111" s="6">
        <f t="shared" ref="D111:F111" si="79">$G$111*M92</f>
        <v>8707.3830503500012</v>
      </c>
      <c r="E111" s="6">
        <f t="shared" si="79"/>
        <v>8707.3830503500012</v>
      </c>
      <c r="F111" s="6">
        <f t="shared" si="79"/>
        <v>8707.3830503500012</v>
      </c>
      <c r="G111" s="6">
        <f>'Profit and Loss Statement'!G25</f>
        <v>34829.532201400005</v>
      </c>
    </row>
    <row r="112" spans="2:20">
      <c r="B112" s="29" t="s">
        <v>16</v>
      </c>
      <c r="C112" s="6">
        <f>SUM('Loan Amortization Table'!D38:D40)</f>
        <v>0</v>
      </c>
      <c r="D112" s="6">
        <f>SUM('Loan Amortization Table'!D41:D43)</f>
        <v>0</v>
      </c>
      <c r="E112" s="6">
        <f>SUM('Loan Amortization Table'!D44:D46)</f>
        <v>0</v>
      </c>
      <c r="F112" s="6">
        <f>SUM('Loan Amortization Table'!D47:D49)</f>
        <v>0</v>
      </c>
      <c r="G112" s="6">
        <f>'Profit and Loss Statement'!G26</f>
        <v>0</v>
      </c>
    </row>
    <row r="113" spans="2:15">
      <c r="B113" s="29" t="s">
        <v>54</v>
      </c>
      <c r="C113" s="6">
        <f>$G$113/4</f>
        <v>3170</v>
      </c>
      <c r="D113" s="6">
        <f>$G$113/4</f>
        <v>3170</v>
      </c>
      <c r="E113" s="6">
        <f>$G$113/4</f>
        <v>3170</v>
      </c>
      <c r="F113" s="6">
        <f>$G$113/4</f>
        <v>3170</v>
      </c>
      <c r="G113" s="6">
        <f>'Profit and Loss Statement'!G27</f>
        <v>12680</v>
      </c>
    </row>
    <row r="114" spans="2:15">
      <c r="B114" s="38" t="s">
        <v>17</v>
      </c>
      <c r="C114" s="39">
        <f>C109-SUM(C110:C113)</f>
        <v>121903.36270490001</v>
      </c>
      <c r="D114" s="39">
        <f t="shared" ref="D114:F114" si="80">D109-SUM(D110:D113)</f>
        <v>121903.36270490001</v>
      </c>
      <c r="E114" s="39">
        <f t="shared" si="80"/>
        <v>121903.36270490001</v>
      </c>
      <c r="F114" s="39">
        <f t="shared" si="80"/>
        <v>121903.36270490001</v>
      </c>
      <c r="G114" s="39">
        <f>'Profit and Loss Statement'!G28</f>
        <v>487613.45081960002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V6" sqref="V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19030.67326765375</v>
      </c>
      <c r="E6" s="13">
        <f>'Expanded Profit and Loss'!D28+'Expanded Profit and Loss'!D27</f>
        <v>19040.858619292459</v>
      </c>
      <c r="F6" s="13">
        <f>'Expanded Profit and Loss'!E28+'Expanded Profit and Loss'!E27</f>
        <v>19051.043970931165</v>
      </c>
      <c r="G6" s="13">
        <f>'Expanded Profit and Loss'!F28+'Expanded Profit and Loss'!F27</f>
        <v>19061.229322569892</v>
      </c>
      <c r="H6" s="13">
        <f>'Expanded Profit and Loss'!G28+'Expanded Profit and Loss'!G27</f>
        <v>19071.414674208598</v>
      </c>
      <c r="I6" s="13">
        <f>'Expanded Profit and Loss'!H28+'Expanded Profit and Loss'!H27</f>
        <v>19081.60002584731</v>
      </c>
      <c r="J6" s="13">
        <f>'Expanded Profit and Loss'!I28+'Expanded Profit and Loss'!I27</f>
        <v>19091.785377486016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200833.33333333334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219864.00660098711</v>
      </c>
      <c r="E15" s="27">
        <f t="shared" ref="E15:J15" si="3">E6+E12</f>
        <v>19874.191952625792</v>
      </c>
      <c r="F15" s="27">
        <f t="shared" si="3"/>
        <v>19884.377304264497</v>
      </c>
      <c r="G15" s="27">
        <f t="shared" si="3"/>
        <v>19894.562655903224</v>
      </c>
      <c r="H15" s="27">
        <f t="shared" si="3"/>
        <v>19904.74800754193</v>
      </c>
      <c r="I15" s="27">
        <f t="shared" si="3"/>
        <v>19914.933359180643</v>
      </c>
      <c r="J15" s="27">
        <f t="shared" si="3"/>
        <v>19925.118710819348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0</v>
      </c>
      <c r="E18" s="6">
        <f>'Loan Amortization Table'!C15</f>
        <v>0</v>
      </c>
      <c r="F18" s="6">
        <f>'Loan Amortization Table'!C16</f>
        <v>0</v>
      </c>
      <c r="G18" s="6">
        <f>'Loan Amortization Table'!C17</f>
        <v>0</v>
      </c>
      <c r="H18" s="6">
        <f>'Loan Amortization Table'!C18</f>
        <v>0</v>
      </c>
      <c r="I18" s="6">
        <f>'Loan Amortization Table'!C19</f>
        <v>0</v>
      </c>
      <c r="J18" s="6">
        <f>'Loan Amortization Table'!C20</f>
        <v>0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25583.333333333332</v>
      </c>
      <c r="E22" s="26">
        <f t="shared" ref="E22:J22" si="5">SUM(E18:E21)</f>
        <v>583.33333333333337</v>
      </c>
      <c r="F22" s="26">
        <f t="shared" si="5"/>
        <v>583.33333333333337</v>
      </c>
      <c r="G22" s="26">
        <f t="shared" si="5"/>
        <v>583.33333333333337</v>
      </c>
      <c r="H22" s="26">
        <f t="shared" si="5"/>
        <v>583.33333333333337</v>
      </c>
      <c r="I22" s="26">
        <f t="shared" si="5"/>
        <v>583.33333333333337</v>
      </c>
      <c r="J22" s="26">
        <f t="shared" si="5"/>
        <v>583.33333333333337</v>
      </c>
    </row>
    <row r="23" spans="3:10">
      <c r="C23" s="30"/>
    </row>
    <row r="24" spans="3:10">
      <c r="C24" s="42" t="s">
        <v>27</v>
      </c>
      <c r="D24" s="25">
        <f>D15-D22</f>
        <v>194280.67326765376</v>
      </c>
      <c r="E24" s="25">
        <f t="shared" ref="E24:J24" si="6">E15-E22</f>
        <v>19290.858619292459</v>
      </c>
      <c r="F24" s="25">
        <f t="shared" si="6"/>
        <v>19301.043970931165</v>
      </c>
      <c r="G24" s="25">
        <f t="shared" si="6"/>
        <v>19311.229322569892</v>
      </c>
      <c r="H24" s="25">
        <f t="shared" si="6"/>
        <v>19321.414674208598</v>
      </c>
      <c r="I24" s="25">
        <f t="shared" si="6"/>
        <v>19331.60002584731</v>
      </c>
      <c r="J24" s="25">
        <f t="shared" si="6"/>
        <v>19341.785377486016</v>
      </c>
    </row>
    <row r="25" spans="3:10">
      <c r="C25" s="42" t="s">
        <v>6</v>
      </c>
      <c r="D25" s="25">
        <f>D24</f>
        <v>194280.67326765376</v>
      </c>
      <c r="E25" s="25">
        <f>D25+E24</f>
        <v>213571.53188694624</v>
      </c>
      <c r="F25" s="25">
        <f t="shared" ref="F25:J25" si="7">E25+F24</f>
        <v>232872.57585787741</v>
      </c>
      <c r="G25" s="25">
        <f t="shared" si="7"/>
        <v>252183.80518044729</v>
      </c>
      <c r="H25" s="25">
        <f t="shared" si="7"/>
        <v>271505.21985465591</v>
      </c>
      <c r="I25" s="25">
        <f t="shared" si="7"/>
        <v>290836.81988050323</v>
      </c>
      <c r="J25" s="25">
        <f t="shared" si="7"/>
        <v>310178.60525798926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19101.970729124729</v>
      </c>
      <c r="E31" s="13">
        <f>'Expanded Profit and Loss'!D56+'Expanded Profit and Loss'!D55</f>
        <v>19112.156080763449</v>
      </c>
      <c r="F31" s="13">
        <f>'Expanded Profit and Loss'!E56+'Expanded Profit and Loss'!E55</f>
        <v>19122.341432402158</v>
      </c>
      <c r="G31" s="13">
        <f>'Expanded Profit and Loss'!F56+'Expanded Profit and Loss'!F55</f>
        <v>19132.526784040867</v>
      </c>
      <c r="H31" s="13">
        <f>'Expanded Profit and Loss'!G56+'Expanded Profit and Loss'!G55</f>
        <v>19142.712135679572</v>
      </c>
      <c r="I31" s="13">
        <f>'Cash Flow Analysis'!E6</f>
        <v>229040.31241999997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210000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19935.304062458061</v>
      </c>
      <c r="E40" s="27">
        <f t="shared" ref="E40:H40" si="13">E31+E37</f>
        <v>19945.489414096781</v>
      </c>
      <c r="F40" s="27">
        <f t="shared" si="13"/>
        <v>19955.67476573549</v>
      </c>
      <c r="G40" s="27">
        <f t="shared" si="13"/>
        <v>19965.860117374199</v>
      </c>
      <c r="H40" s="27">
        <f t="shared" si="13"/>
        <v>19976.045469012905</v>
      </c>
      <c r="I40" s="36">
        <f>'Cash Flow Analysis'!E15</f>
        <v>439040.31241999997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0</v>
      </c>
      <c r="E43" s="6">
        <f>'Loan Amortization Table'!C22</f>
        <v>0</v>
      </c>
      <c r="F43" s="6">
        <f>'Loan Amortization Table'!C23</f>
        <v>0</v>
      </c>
      <c r="G43" s="6">
        <f>'Loan Amortization Table'!C24</f>
        <v>0</v>
      </c>
      <c r="H43" s="6">
        <f>'Loan Amortization Table'!C25</f>
        <v>0</v>
      </c>
      <c r="I43" s="6">
        <f>'Cash Flow Analysis'!E18</f>
        <v>0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160328.21869399998</v>
      </c>
      <c r="I46" s="13">
        <f>'Cash Flow Analysis'!E21</f>
        <v>160328.21869399998</v>
      </c>
      <c r="J46" s="30"/>
    </row>
    <row r="47" spans="3:10">
      <c r="C47" s="37" t="s">
        <v>26</v>
      </c>
      <c r="D47" s="26">
        <f>SUM(D43:D46)</f>
        <v>583.33333333333337</v>
      </c>
      <c r="E47" s="26">
        <f t="shared" ref="E47:H47" si="15">SUM(E43:E46)</f>
        <v>583.33333333333337</v>
      </c>
      <c r="F47" s="26">
        <f t="shared" si="15"/>
        <v>583.33333333333337</v>
      </c>
      <c r="G47" s="26">
        <f t="shared" si="15"/>
        <v>583.33333333333337</v>
      </c>
      <c r="H47" s="26">
        <f t="shared" si="15"/>
        <v>160911.55202733332</v>
      </c>
      <c r="I47" s="26">
        <f>'Cash Flow Analysis'!E22</f>
        <v>192328.21869399998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19351.970729124729</v>
      </c>
      <c r="E49" s="25">
        <f t="shared" ref="E49:H49" si="16">E40-E47</f>
        <v>19362.156080763449</v>
      </c>
      <c r="F49" s="25">
        <f t="shared" si="16"/>
        <v>19372.341432402158</v>
      </c>
      <c r="G49" s="25">
        <f t="shared" si="16"/>
        <v>19382.526784040867</v>
      </c>
      <c r="H49" s="25">
        <f t="shared" si="16"/>
        <v>-140935.50655832043</v>
      </c>
      <c r="I49" s="45">
        <f>'Cash Flow Analysis'!E24</f>
        <v>246712.09372599999</v>
      </c>
      <c r="J49" s="30"/>
    </row>
    <row r="50" spans="3:10">
      <c r="C50" s="42" t="s">
        <v>6</v>
      </c>
      <c r="D50" s="25">
        <f>J25+D49</f>
        <v>329530.57598711399</v>
      </c>
      <c r="E50" s="25">
        <f>D50+E49</f>
        <v>348892.73206787743</v>
      </c>
      <c r="F50" s="25">
        <f t="shared" ref="F50:H50" si="17">E50+F49</f>
        <v>368265.07350027957</v>
      </c>
      <c r="G50" s="25">
        <f t="shared" si="17"/>
        <v>387647.60028432042</v>
      </c>
      <c r="H50" s="25">
        <f t="shared" si="17"/>
        <v>246712.09372599999</v>
      </c>
      <c r="I50" s="45">
        <f>'Cash Flow Analysis'!E25</f>
        <v>246712.09372599999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93662.617726000026</v>
      </c>
      <c r="E58" s="48">
        <f>'Expanded Profit and Loss'!D84+'Expanded Profit and Loss'!D83</f>
        <v>93662.617726000026</v>
      </c>
      <c r="F58" s="48">
        <f>'Expanded Profit and Loss'!E84+'Expanded Profit and Loss'!E83</f>
        <v>93662.617726000026</v>
      </c>
      <c r="G58" s="48">
        <f>'Expanded Profit and Loss'!F84+'Expanded Profit and Loss'!F83</f>
        <v>93662.617726000026</v>
      </c>
      <c r="H58" s="46">
        <f>'Cash Flow Analysis'!F6</f>
        <v>374650.4709040001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96212.617726000026</v>
      </c>
      <c r="E67" s="48">
        <f t="shared" ref="E67:G67" si="19">E58+E64</f>
        <v>96212.617726000026</v>
      </c>
      <c r="F67" s="48">
        <f t="shared" si="19"/>
        <v>96212.617726000026</v>
      </c>
      <c r="G67" s="48">
        <f t="shared" si="19"/>
        <v>96212.617726000026</v>
      </c>
      <c r="H67" s="27">
        <f>'Cash Flow Analysis'!F15</f>
        <v>384850.4709040001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0</v>
      </c>
      <c r="E70" s="50">
        <f>SUM('Loan Amortization Table'!C29:C31)</f>
        <v>0</v>
      </c>
      <c r="F70" s="50">
        <f>SUM('Loan Amortization Table'!C32:C34)</f>
        <v>0</v>
      </c>
      <c r="G70" s="50">
        <f>SUM('Loan Amortization Table'!C35:C37)</f>
        <v>0</v>
      </c>
      <c r="H70" s="32">
        <f>'Cash Flow Analysis'!F18</f>
        <v>0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18732.523545200005</v>
      </c>
      <c r="E72" s="50">
        <v>0</v>
      </c>
      <c r="F72" s="50">
        <v>0</v>
      </c>
      <c r="G72" s="50">
        <v>0</v>
      </c>
      <c r="H72" s="32">
        <f>'Cash Flow Analysis'!F20</f>
        <v>18732.523545200005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262255.32963280007</v>
      </c>
      <c r="H73" s="13">
        <f>'Cash Flow Analysis'!F21</f>
        <v>262255.32963280007</v>
      </c>
    </row>
    <row r="74" spans="3:8">
      <c r="C74" s="37" t="s">
        <v>26</v>
      </c>
      <c r="D74" s="51">
        <f>SUM(D70:D73)</f>
        <v>20517.523545200005</v>
      </c>
      <c r="E74" s="51">
        <f t="shared" ref="E74:G74" si="20">SUM(E70:E73)</f>
        <v>1785</v>
      </c>
      <c r="F74" s="51">
        <f t="shared" si="20"/>
        <v>1785</v>
      </c>
      <c r="G74" s="51">
        <f t="shared" si="20"/>
        <v>264040.32963280007</v>
      </c>
      <c r="H74" s="34">
        <f>'Cash Flow Analysis'!F22</f>
        <v>288127.85317800008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75695.094180800021</v>
      </c>
      <c r="E76" s="52">
        <f t="shared" ref="E76:G76" si="21">E67-E74</f>
        <v>94427.617726000026</v>
      </c>
      <c r="F76" s="52">
        <f t="shared" si="21"/>
        <v>94427.617726000026</v>
      </c>
      <c r="G76" s="52">
        <f t="shared" si="21"/>
        <v>-167827.71190680005</v>
      </c>
      <c r="H76" s="40">
        <f>'Cash Flow Analysis'!F24</f>
        <v>96722.617726000026</v>
      </c>
    </row>
    <row r="77" spans="3:8">
      <c r="C77" s="42" t="s">
        <v>6</v>
      </c>
      <c r="D77" s="52">
        <f>I50+D76</f>
        <v>322407.18790680001</v>
      </c>
      <c r="E77" s="52">
        <f>D77+E76</f>
        <v>416834.80563280004</v>
      </c>
      <c r="F77" s="52">
        <f t="shared" ref="F77:G77" si="22">E77+F76</f>
        <v>511262.42335880006</v>
      </c>
      <c r="G77" s="52">
        <f t="shared" si="22"/>
        <v>343434.71145200002</v>
      </c>
      <c r="H77" s="40">
        <f>'Cash Flow Analysis'!F25</f>
        <v>343434.71145200002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125073.36270490001</v>
      </c>
      <c r="E84" s="48">
        <f>'Expanded Profit and Loss'!D114+'Expanded Profit and Loss'!D113</f>
        <v>125073.36270490001</v>
      </c>
      <c r="F84" s="48">
        <f>'Expanded Profit and Loss'!E114+'Expanded Profit and Loss'!E113</f>
        <v>125073.36270490001</v>
      </c>
      <c r="G84" s="48">
        <f>'Expanded Profit and Loss'!F114+'Expanded Profit and Loss'!F113</f>
        <v>125073.36270490001</v>
      </c>
      <c r="H84" s="27">
        <f>'Cash Flow Analysis'!G6</f>
        <v>500293.45081960002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127674.36270490001</v>
      </c>
      <c r="E93" s="48">
        <f t="shared" ref="E93:G93" si="24">E90+E84</f>
        <v>127674.36270490001</v>
      </c>
      <c r="F93" s="48">
        <f t="shared" si="24"/>
        <v>127674.36270490001</v>
      </c>
      <c r="G93" s="48">
        <f t="shared" si="24"/>
        <v>127674.36270490001</v>
      </c>
      <c r="H93" s="27">
        <f>'Cash Flow Analysis'!G15</f>
        <v>510697.45081960002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0</v>
      </c>
      <c r="E96" s="50">
        <f>SUM('Loan Amortization Table'!C41:C43)</f>
        <v>0</v>
      </c>
      <c r="F96" s="50">
        <f>SUM('Loan Amortization Table'!C44:C46)</f>
        <v>0</v>
      </c>
      <c r="G96" s="50">
        <f>SUM('Loan Amortization Table'!C47:C49)</f>
        <v>0</v>
      </c>
      <c r="H96" s="32">
        <f>'Cash Flow Analysis'!G18</f>
        <v>0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25014.672540980002</v>
      </c>
      <c r="E98" s="50">
        <v>0</v>
      </c>
      <c r="F98" s="50">
        <v>0</v>
      </c>
      <c r="G98" s="50">
        <v>0</v>
      </c>
      <c r="H98" s="32">
        <f>'Cash Flow Analysis'!G20</f>
        <v>25014.672540980002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350205.41557372001</v>
      </c>
      <c r="H99" s="13">
        <f>'Cash Flow Analysis'!G21</f>
        <v>350205.41557372001</v>
      </c>
    </row>
    <row r="100" spans="3:8">
      <c r="C100" s="37" t="s">
        <v>26</v>
      </c>
      <c r="D100" s="51">
        <f>SUM(D96:D99)</f>
        <v>26835.372540980003</v>
      </c>
      <c r="E100" s="51">
        <f t="shared" ref="E100:G100" si="26">SUM(E96:E99)</f>
        <v>1820.6999999999998</v>
      </c>
      <c r="F100" s="51">
        <f t="shared" si="26"/>
        <v>1820.6999999999998</v>
      </c>
      <c r="G100" s="51">
        <f t="shared" si="26"/>
        <v>352026.11557372002</v>
      </c>
      <c r="H100" s="34">
        <f>'Cash Flow Analysis'!G22</f>
        <v>382502.88811469998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100838.99016392001</v>
      </c>
      <c r="E102" s="52">
        <f t="shared" ref="E102:G102" si="27">E93-E100</f>
        <v>125853.66270490001</v>
      </c>
      <c r="F102" s="52">
        <f t="shared" si="27"/>
        <v>125853.66270490001</v>
      </c>
      <c r="G102" s="52">
        <f t="shared" si="27"/>
        <v>-224351.75286882001</v>
      </c>
      <c r="H102" s="40">
        <f>'Cash Flow Analysis'!G24</f>
        <v>128194.56270490005</v>
      </c>
    </row>
    <row r="103" spans="3:8">
      <c r="C103" s="42" t="s">
        <v>6</v>
      </c>
      <c r="D103" s="52">
        <f>G77+D102</f>
        <v>444273.70161592006</v>
      </c>
      <c r="E103" s="52">
        <f>D103+E102</f>
        <v>570127.36432082008</v>
      </c>
      <c r="F103" s="52">
        <f t="shared" ref="F103:G103" si="28">E103+F102</f>
        <v>695981.0270257201</v>
      </c>
      <c r="G103" s="52">
        <f t="shared" si="28"/>
        <v>471629.27415690012</v>
      </c>
      <c r="H103" s="40">
        <f>'Cash Flow Analysis'!G25</f>
        <v>471629.27415690006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L19" sqref="L19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Agency Fees</v>
      </c>
      <c r="F6" s="94">
        <f>SUM(Inputs!C32:N32)</f>
        <v>2425320</v>
      </c>
      <c r="G6" s="94">
        <f t="shared" ref="G6:H15" si="0">F6*(1+G$5)</f>
        <v>2910384</v>
      </c>
      <c r="H6" s="94">
        <f t="shared" si="0"/>
        <v>3346941.5999999996</v>
      </c>
      <c r="I6" s="128"/>
      <c r="J6" s="94" t="str">
        <f>E6</f>
        <v>Agency Fees</v>
      </c>
      <c r="K6" s="144">
        <f>F6/$F$16</f>
        <v>0.95238095238095233</v>
      </c>
      <c r="L6" s="144">
        <f>G6/$G$16</f>
        <v>0.95238095238095233</v>
      </c>
      <c r="M6" s="144">
        <f>H6/$H$16</f>
        <v>0.95238095238095233</v>
      </c>
    </row>
    <row r="7" spans="5:13">
      <c r="E7" s="94" t="str">
        <f>Inputs!B6</f>
        <v>Consulting Income</v>
      </c>
      <c r="F7" s="94">
        <f>SUM(Inputs!C33:N33)</f>
        <v>121266</v>
      </c>
      <c r="G7" s="94">
        <f t="shared" si="0"/>
        <v>145519.19999999998</v>
      </c>
      <c r="H7" s="94">
        <f t="shared" si="0"/>
        <v>167347.07999999996</v>
      </c>
      <c r="I7" s="128"/>
      <c r="J7" s="94" t="str">
        <f t="shared" ref="J7:J15" si="1">E7</f>
        <v>Consulting Income</v>
      </c>
      <c r="K7" s="144">
        <f t="shared" ref="K7:K15" si="2">F7/$F$16</f>
        <v>4.7619047619047616E-2</v>
      </c>
      <c r="L7" s="144">
        <f t="shared" ref="L7:L15" si="3">G7/$G$16</f>
        <v>4.7619047619047609E-2</v>
      </c>
      <c r="M7" s="144">
        <f t="shared" ref="M7:M15" si="4">H7/$H$16</f>
        <v>4.7619047619047609E-2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2546586</v>
      </c>
      <c r="G16" s="99">
        <f>SUM(G6:G15)</f>
        <v>3055903.2</v>
      </c>
      <c r="H16" s="99">
        <f>SUM(H6:H15)</f>
        <v>3514288.6799999997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Agency Fees</v>
      </c>
      <c r="F21" s="94">
        <f>SUM(Inputs!C51:N51)</f>
        <v>1212660</v>
      </c>
      <c r="G21" s="94">
        <f t="shared" ref="G21:H30" si="5">F21*(1+G$20)</f>
        <v>1455192</v>
      </c>
      <c r="H21" s="94">
        <f t="shared" si="5"/>
        <v>1673470.7999999998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Consulting Income</v>
      </c>
      <c r="F22" s="94">
        <f>SUM(Inputs!C52:N52)</f>
        <v>6063.3</v>
      </c>
      <c r="G22" s="94">
        <f t="shared" si="5"/>
        <v>7275.96</v>
      </c>
      <c r="H22" s="94">
        <f t="shared" si="5"/>
        <v>8367.3539999999994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1218723.3</v>
      </c>
      <c r="G31" s="100">
        <f>SUM(G21:G30)</f>
        <v>1462467.96</v>
      </c>
      <c r="H31" s="100">
        <f>SUM(H21:H30)</f>
        <v>1681838.1539999999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2025-10-04T13:32:01Z</dcterms:modified>
</cp:coreProperties>
</file>