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Sports Complex\"/>
    </mc:Choice>
  </mc:AlternateContent>
  <xr:revisionPtr revIDLastSave="0" documentId="13_ncr:1_{8CD2CEFF-037B-4C5C-AC05-8215FAD664DD}" xr6:coauthVersionLast="47" xr6:coauthVersionMax="47" xr10:uidLastSave="{00000000-0000-0000-0000-000000000000}"/>
  <bookViews>
    <workbookView xWindow="-289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C33" i="23"/>
  <c r="C34" i="23" s="1"/>
  <c r="G27" i="2"/>
  <c r="G113" i="11" s="1"/>
  <c r="F27" i="2"/>
  <c r="E5" i="12"/>
  <c r="F5" i="12"/>
  <c r="G5" i="12" s="1"/>
  <c r="H5" i="12" s="1"/>
  <c r="D11" i="12"/>
  <c r="E11" i="12"/>
  <c r="F11" i="12"/>
  <c r="F12" i="12" s="1"/>
  <c r="G11" i="12"/>
  <c r="H11" i="12"/>
  <c r="H12" i="12" s="1"/>
  <c r="E12" i="12"/>
  <c r="G12" i="12"/>
  <c r="D19" i="12"/>
  <c r="E19" i="12"/>
  <c r="F19" i="12"/>
  <c r="G19" i="12"/>
  <c r="H19" i="12"/>
  <c r="H8" i="14"/>
  <c r="G8" i="14"/>
  <c r="J8" i="9"/>
  <c r="J9" i="9"/>
  <c r="J10" i="9"/>
  <c r="J11" i="9"/>
  <c r="J12" i="9"/>
  <c r="J13" i="9"/>
  <c r="J14" i="9"/>
  <c r="J15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E34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I5" i="12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H55" i="11"/>
  <c r="F11" i="3"/>
  <c r="G11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L32" i="7" s="1"/>
  <c r="G8" i="7"/>
  <c r="G20" i="7" s="1"/>
  <c r="G9" i="7"/>
  <c r="L34" i="7" s="1"/>
  <c r="G6" i="7"/>
  <c r="L31" i="7" s="1"/>
  <c r="E53" i="23" l="1"/>
  <c r="D33" i="23"/>
  <c r="D34" i="23" s="1"/>
  <c r="D53" i="23" s="1"/>
  <c r="D10" i="12"/>
  <c r="D12" i="12" s="1"/>
  <c r="L35" i="7"/>
  <c r="D51" i="23"/>
  <c r="D56" i="23"/>
  <c r="D57" i="23"/>
  <c r="D59" i="23"/>
  <c r="C52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F34" i="23" s="1"/>
  <c r="F53" i="23" s="1"/>
  <c r="I11" i="12"/>
  <c r="I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G8" i="10"/>
  <c r="H8" i="10" s="1"/>
  <c r="G60" i="7"/>
  <c r="G21" i="7"/>
  <c r="I9" i="7"/>
  <c r="G7" i="10"/>
  <c r="I34" i="12"/>
  <c r="F36" i="12"/>
  <c r="F37" i="12" s="1"/>
  <c r="G19" i="7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D52" i="23" l="1"/>
  <c r="D61" i="23" s="1"/>
  <c r="D7" i="11" s="1"/>
  <c r="C61" i="23"/>
  <c r="C7" i="11" s="1"/>
  <c r="E61" i="23"/>
  <c r="E7" i="11" s="1"/>
  <c r="C42" i="11"/>
  <c r="F26" i="9"/>
  <c r="F42" i="11"/>
  <c r="F28" i="9"/>
  <c r="F25" i="9"/>
  <c r="F29" i="9"/>
  <c r="D42" i="11"/>
  <c r="F30" i="9"/>
  <c r="F27" i="9"/>
  <c r="F24" i="9"/>
  <c r="D42" i="23"/>
  <c r="F52" i="23"/>
  <c r="F51" i="23"/>
  <c r="E6" i="11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G34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I19" i="12"/>
  <c r="H44" i="12"/>
  <c r="D44" i="12"/>
  <c r="J19" i="12"/>
  <c r="E44" i="12"/>
  <c r="F44" i="12"/>
  <c r="J7" i="7"/>
  <c r="H9" i="10"/>
  <c r="C26" i="11"/>
  <c r="C14" i="8"/>
  <c r="D18" i="12" s="1"/>
  <c r="F83" i="11"/>
  <c r="C83" i="11"/>
  <c r="D83" i="11"/>
  <c r="E83" i="11"/>
  <c r="G75" i="11"/>
  <c r="B15" i="8"/>
  <c r="A16" i="8"/>
  <c r="G53" i="23" l="1"/>
  <c r="C66" i="23"/>
  <c r="G51" i="23"/>
  <c r="E66" i="23"/>
  <c r="F42" i="23"/>
  <c r="F6" i="11" s="1"/>
  <c r="D6" i="11"/>
  <c r="D66" i="23"/>
  <c r="F61" i="23"/>
  <c r="F7" i="11" s="1"/>
  <c r="H32" i="23"/>
  <c r="H33" i="23" s="1"/>
  <c r="H34" i="23" s="1"/>
  <c r="H53" i="23" s="1"/>
  <c r="C21" i="23"/>
  <c r="E17" i="2" s="1"/>
  <c r="D75" i="11"/>
  <c r="F75" i="11"/>
  <c r="E75" i="11"/>
  <c r="J16" i="7"/>
  <c r="E8" i="4"/>
  <c r="I45" i="12"/>
  <c r="D20" i="12" s="1"/>
  <c r="D22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I34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3" i="23" l="1"/>
  <c r="I51" i="23"/>
  <c r="H42" i="23"/>
  <c r="H6" i="11" s="1"/>
  <c r="H61" i="23"/>
  <c r="H7" i="11" s="1"/>
  <c r="G61" i="23"/>
  <c r="G7" i="11" s="1"/>
  <c r="G6" i="11"/>
  <c r="J32" i="23"/>
  <c r="J33" i="23" s="1"/>
  <c r="J34" i="23" s="1"/>
  <c r="J5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26" i="11"/>
  <c r="A19" i="8"/>
  <c r="B18" i="8"/>
  <c r="E16" i="8" l="1"/>
  <c r="D17" i="8" s="1"/>
  <c r="C17" i="8" s="1"/>
  <c r="G18" i="12" s="1"/>
  <c r="G22" i="12" s="1"/>
  <c r="F18" i="12"/>
  <c r="F22" i="12" s="1"/>
  <c r="G66" i="23"/>
  <c r="H66" i="23"/>
  <c r="J52" i="23"/>
  <c r="J51" i="23"/>
  <c r="I42" i="23"/>
  <c r="I52" i="23"/>
  <c r="K32" i="23"/>
  <c r="K33" i="23" s="1"/>
  <c r="K34" i="23" s="1"/>
  <c r="K5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E10" i="11"/>
  <c r="A20" i="8"/>
  <c r="B19" i="8"/>
  <c r="F26" i="11" l="1"/>
  <c r="J42" i="23"/>
  <c r="C34" i="11" s="1"/>
  <c r="I61" i="23"/>
  <c r="I7" i="11" s="1"/>
  <c r="K52" i="23"/>
  <c r="K51" i="23"/>
  <c r="I6" i="11"/>
  <c r="J61" i="23"/>
  <c r="C35" i="11" s="1"/>
  <c r="L32" i="23"/>
  <c r="L33" i="23" s="1"/>
  <c r="L34" i="23" s="1"/>
  <c r="L53" i="23" s="1"/>
  <c r="H10" i="11"/>
  <c r="G10" i="11"/>
  <c r="G8" i="11"/>
  <c r="E17" i="8"/>
  <c r="D18" i="8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M34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M53" i="23" l="1"/>
  <c r="L61" i="23"/>
  <c r="E35" i="11" s="1"/>
  <c r="L42" i="23"/>
  <c r="E34" i="11" s="1"/>
  <c r="K66" i="23"/>
  <c r="M52" i="23"/>
  <c r="M51" i="23"/>
  <c r="N32" i="23"/>
  <c r="N33" i="23" s="1"/>
  <c r="N34" i="23" s="1"/>
  <c r="N53" i="23" s="1"/>
  <c r="C38" i="11"/>
  <c r="I8" i="11"/>
  <c r="I10" i="11"/>
  <c r="E18" i="8"/>
  <c r="D19" i="8" s="1"/>
  <c r="H26" i="11" s="1"/>
  <c r="A23" i="8"/>
  <c r="B22" i="8"/>
  <c r="F23" i="9" l="1"/>
  <c r="G23" i="9" s="1"/>
  <c r="F8" i="9"/>
  <c r="G8" i="9" s="1"/>
  <c r="N51" i="23"/>
  <c r="F21" i="9" s="1"/>
  <c r="M42" i="23"/>
  <c r="F34" i="11" s="1"/>
  <c r="L66" i="23"/>
  <c r="M61" i="23"/>
  <c r="F35" i="11" s="1"/>
  <c r="F6" i="9"/>
  <c r="G30" i="9"/>
  <c r="G15" i="9"/>
  <c r="G27" i="9"/>
  <c r="G12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l="1"/>
  <c r="E260" i="8" s="1"/>
  <c r="A262" i="8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D294" i="8" s="1"/>
  <c r="A295" i="8"/>
  <c r="B294" i="8"/>
  <c r="C294" i="8" l="1"/>
  <c r="E294" i="8" s="1"/>
  <c r="B295" i="8"/>
  <c r="D295" i="8"/>
  <c r="A296" i="8"/>
  <c r="C295" i="8" l="1"/>
  <c r="E295" i="8" s="1"/>
  <c r="D296" i="8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<sst xmlns="http://schemas.openxmlformats.org/spreadsheetml/2006/main" count="320" uniqueCount="139">
  <si>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</si>
  <si>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</si>
  <si>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</si>
  <si>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</si>
  <si>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</si>
  <si>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</si>
  <si>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</si>
  <si>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</si>
  <si>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</si>
  <si>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</si>
  <si>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</si>
  <si>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</si>
  <si>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</si>
  <si>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</si>
  <si>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</si>
  <si>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</si>
  <si>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</si>
  <si>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</si>
  <si>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</si>
  <si>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</si>
  <si>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</si>
  <si>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</si>
  <si>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</si>
  <si>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</si>
  <si>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</si>
  <si>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</si>
  <si>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</si>
  <si>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</si>
  <si>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</si>
  <si>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</si>
  <si>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</si>
  <si>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</si>
  <si>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</si>
  <si>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</si>
  <si>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</si>
  <si>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</si>
  <si>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</si>
  <si>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</si>
  <si>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</si>
  <si>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</si>
  <si>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</si>
  <si>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</si>
  <si>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</si>
  <si>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</si>
  <si>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</si>
  <si>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</si>
  <si>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</si>
  <si>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</si>
  <si>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</si>
  <si>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</si>
  <si>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</si>
  <si>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</si>
  <si>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</si>
  <si>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</si>
  <si>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</si>
  <si>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</si>
  <si>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</si>
  <si>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</si>
  <si>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</si>
  <si>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</si>
  <si>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</si>
  <si>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</si>
  <si>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</si>
  <si>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</si>
  <si>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</si>
  <si>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</si>
  <si>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</si>
  <si>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</si>
  <si>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</si>
  <si>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</si>
  <si>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</si>
  <si>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</si>
  <si>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</si>
  <si>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</si>
  <si>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</si>
  <si>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</si>
  <si>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</si>
  <si>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</si>
  <si>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</si>
  <si>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</si>
  <si>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</si>
  <si>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</si>
  <si>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</si>
  <si>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</si>
  <si>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</si>
  <si>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</si>
  <si>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</si>
  <si>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</si>
  <si>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</si>
  <si>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</si>
  <si>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</si>
  <si>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</si>
  <si>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</si>
  <si>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</si>
  <si>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</si>
  <si>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</si>
  <si>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</si>
  <si>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</si>
  <si>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</si>
  <si>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Total Financing</t>
  </si>
  <si>
    <t>Cost of Revenue Overview</t>
  </si>
  <si>
    <t>State Income Tax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</si>
  <si>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</si>
  <si>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</si>
  <si>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</si>
  <si>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</si>
  <si>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</si>
  <si>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</si>
  <si>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</si>
  <si>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</si>
  <si>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</si>
  <si>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</si>
  <si>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</si>
  <si>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Initial Marketing</t>
  </si>
  <si>
    <t>Facility Costs</t>
  </si>
  <si>
    <t>Marketing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</si>
  <si>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</si>
  <si>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</si>
  <si>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</si>
  <si>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</si>
  <si>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</si>
  <si>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</si>
  <si>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</si>
  <si>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</si>
  <si>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</si>
  <si>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Senior Management</t>
  </si>
  <si>
    <t>Operations Manager</t>
  </si>
  <si>
    <t>Operational Staff</t>
  </si>
  <si>
    <t>Product Sales</t>
  </si>
  <si>
    <t>Business Loan</t>
  </si>
  <si>
    <t>Location Buildout</t>
  </si>
  <si>
    <t>FF&amp;E</t>
  </si>
  <si>
    <t>Staff Instructors</t>
  </si>
  <si>
    <t>Membership Fees</t>
  </si>
  <si>
    <t>Instruction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</si>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</sst>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645722.09739720833</c:v>
                </c:pt>
                <c:pt idx="1">
                  <c:v>951699.51870963443</c:v>
                </c:pt>
                <c:pt idx="2">
                  <c:v>1223187.0094668665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36715.521541238064</c:v>
                </c:pt>
                <c:pt idx="1">
                  <c:v>39369.689562132968</c:v>
                </c:pt>
                <c:pt idx="2">
                  <c:v>42215.727603864456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452005.46817804582</c:v>
                </c:pt>
                <c:pt idx="1">
                  <c:v>666189.6630967441</c:v>
                </c:pt>
                <c:pt idx="2">
                  <c:v>856230.90662680648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645722.09739720833</c:v>
                </c:pt>
                <c:pt idx="1">
                  <c:v>951699.51870963443</c:v>
                </c:pt>
                <c:pt idx="2">
                  <c:v>1223187.0094668665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DD8-4486-A5C3-91B39B1A11B1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DD8-4486-A5C3-91B39B1A11B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452005.46817804582</c:v>
                </c:pt>
                <c:pt idx="1">
                  <c:v>666189.6630967441</c:v>
                </c:pt>
                <c:pt idx="2">
                  <c:v>856230.90662680648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8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3035987.1076779244</c:v>
                </c:pt>
                <c:pt idx="1">
                  <c:v>3161173.2737286817</c:v>
                </c:pt>
                <c:pt idx="2">
                  <c:v>3365020.8489648774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A-4ACC-B591-2DF662676CDB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9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2366284.4784587622</c:v>
                </c:pt>
                <c:pt idx="1">
                  <c:v>2329974.7888966296</c:v>
                </c:pt>
                <c:pt idx="2">
                  <c:v>2290880.2612927654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A-4ACC-B591-2DF662676CDB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9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669702.62921916228</c:v>
                </c:pt>
                <c:pt idx="1">
                  <c:v>831198.48483205214</c:v>
                </c:pt>
                <c:pt idx="2">
                  <c:v>1074140.587672112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A-4ACC-B591-2DF662676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684175"/>
        <c:axId val="1810951567"/>
      </c:barChart>
      <c:catAx>
        <c:axId val="190668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951567"/>
        <c:crosses val="autoZero"/>
        <c:auto val="1"/>
        <c:lblAlgn val="ctr"/>
        <c:lblOffset val="100"/>
        <c:noMultiLvlLbl val="0"/>
      </c:catAx>
      <c:valAx>
        <c:axId val="181095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68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EC3-4F90-A369-FD927834E0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Overview'!$J$6:$J$8</c:f>
              <c:strCache>
                <c:ptCount val="3"/>
                <c:pt idx="0">
                  <c:v>Membership Fees</c:v>
                </c:pt>
                <c:pt idx="1">
                  <c:v>Instruction</c:v>
                </c:pt>
                <c:pt idx="2">
                  <c:v>Product Sales</c:v>
                </c:pt>
              </c:strCache>
            </c:strRef>
          </c:cat>
          <c:val>
            <c:numRef>
              <c:f>'Revenue Overview'!$K$6:$K$8</c:f>
              <c:numCache>
                <c:formatCode>0%</c:formatCode>
                <c:ptCount val="3"/>
                <c:pt idx="0">
                  <c:v>0.6791171477079796</c:v>
                </c:pt>
                <c:pt idx="1">
                  <c:v>0.23769100169779286</c:v>
                </c:pt>
                <c:pt idx="2">
                  <c:v>8.3191850594227484E-2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1572689.1052621414</c:v>
                </c:pt>
                <c:pt idx="1">
                  <c:v>1642687.2128119203</c:v>
                </c:pt>
                <c:pt idx="2">
                  <c:v>1712161.5565352798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1572689.1052621414</c:v>
                </c:pt>
                <c:pt idx="1">
                  <c:v>1642687.2128119203</c:v>
                </c:pt>
                <c:pt idx="2">
                  <c:v>1712161.5565352798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17867816091954025"/>
          <c:w val="0.89122660638293982"/>
          <c:h val="0.5565322653633813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2687783.7</c:v>
                </c:pt>
                <c:pt idx="1">
                  <c:v>3225340.44</c:v>
                </c:pt>
                <c:pt idx="2">
                  <c:v>3709141.5059999996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1461345.9207300001</c:v>
                </c:pt>
                <c:pt idx="1">
                  <c:v>1526388.3048759999</c:v>
                </c:pt>
                <c:pt idx="2">
                  <c:v>1590944.0066074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1036148.1692700002</c:v>
                </c:pt>
                <c:pt idx="1">
                  <c:v>1470604.6031239999</c:v>
                </c:pt>
                <c:pt idx="2">
                  <c:v>1855597.8375925997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2687783.7</c:v>
                </c:pt>
                <c:pt idx="1">
                  <c:v>3225340.44</c:v>
                </c:pt>
                <c:pt idx="2">
                  <c:v>3709141.5059999996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1036148.1692700002</c:v>
                </c:pt>
                <c:pt idx="1">
                  <c:v>1470604.6031239999</c:v>
                </c:pt>
                <c:pt idx="2">
                  <c:v>1855597.8375925997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1461345.9207300001</c:v>
                </c:pt>
                <c:pt idx="1">
                  <c:v>1526388.3048759999</c:v>
                </c:pt>
                <c:pt idx="2">
                  <c:v>1590944.0066074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BC6-4BF1-8F76-828ADE6960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Overview'!$J$6:$J$8</c:f>
              <c:strCache>
                <c:ptCount val="3"/>
                <c:pt idx="0">
                  <c:v>Membership Fees</c:v>
                </c:pt>
                <c:pt idx="1">
                  <c:v>Instruction</c:v>
                </c:pt>
                <c:pt idx="2">
                  <c:v>Product Sales</c:v>
                </c:pt>
              </c:strCache>
            </c:strRef>
          </c:cat>
          <c:val>
            <c:numRef>
              <c:f>'Revenue Overview'!$K$6:$K$8</c:f>
              <c:numCache>
                <c:formatCode>0%</c:formatCode>
                <c:ptCount val="3"/>
                <c:pt idx="0">
                  <c:v>0.6791171477079796</c:v>
                </c:pt>
                <c:pt idx="1">
                  <c:v>0.23769100169779286</c:v>
                </c:pt>
                <c:pt idx="2">
                  <c:v>8.3191850594227484E-2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8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3035987.1076779244</c:v>
                </c:pt>
                <c:pt idx="1">
                  <c:v>3161173.2737286817</c:v>
                </c:pt>
                <c:pt idx="2">
                  <c:v>3365020.8489648774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6-41C2-B921-A845EF300E8E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9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2366284.4784587622</c:v>
                </c:pt>
                <c:pt idx="1">
                  <c:v>2329974.7888966296</c:v>
                </c:pt>
                <c:pt idx="2">
                  <c:v>2290880.2612927654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6-41C2-B921-A845EF300E8E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9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669702.62921916228</c:v>
                </c:pt>
                <c:pt idx="1">
                  <c:v>831198.48483205214</c:v>
                </c:pt>
                <c:pt idx="2">
                  <c:v>1074140.587672112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6-41C2-B921-A845EF30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6684175"/>
        <c:axId val="1810951567"/>
      </c:barChart>
      <c:catAx>
        <c:axId val="190668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951567"/>
        <c:crosses val="autoZero"/>
        <c:auto val="1"/>
        <c:lblAlgn val="ctr"/>
        <c:lblOffset val="100"/>
        <c:noMultiLvlLbl val="0"/>
      </c:catAx>
      <c:valAx>
        <c:axId val="1810951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668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Operations Manager</c:v>
                </c:pt>
                <c:pt idx="2">
                  <c:v>Staff Instructors</c:v>
                </c:pt>
                <c:pt idx="3">
                  <c:v>Operational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0.15625</c:v>
                </c:pt>
                <c:pt idx="1">
                  <c:v>0.20833333333333334</c:v>
                </c:pt>
                <c:pt idx="2">
                  <c:v>0.15625</c:v>
                </c:pt>
                <c:pt idx="3">
                  <c:v>0.33854166666666669</c:v>
                </c:pt>
                <c:pt idx="4">
                  <c:v>0.140625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Location Buildout</c:v>
                </c:pt>
                <c:pt idx="1">
                  <c:v>FF&amp;E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2000000</c:v>
                </c:pt>
                <c:pt idx="1">
                  <c:v>500000</c:v>
                </c:pt>
                <c:pt idx="2">
                  <c:v>100000</c:v>
                </c:pt>
                <c:pt idx="3">
                  <c:v>400000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2687783.7</c:v>
                </c:pt>
                <c:pt idx="1">
                  <c:v>3225340.44</c:v>
                </c:pt>
                <c:pt idx="2">
                  <c:v>3709141.5059999996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1461345.9207300001</c:v>
                </c:pt>
                <c:pt idx="1">
                  <c:v>1526388.3048759999</c:v>
                </c:pt>
                <c:pt idx="2">
                  <c:v>1590944.0066074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1036148.1692700002</c:v>
                </c:pt>
                <c:pt idx="1">
                  <c:v>1470604.6031239999</c:v>
                </c:pt>
                <c:pt idx="2">
                  <c:v>1855597.8375925997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2687783.7</c:v>
                </c:pt>
                <c:pt idx="1">
                  <c:v>3225340.44</c:v>
                </c:pt>
                <c:pt idx="2">
                  <c:v>3709141.5059999996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1036148.1692700002</c:v>
                </c:pt>
                <c:pt idx="1">
                  <c:v>1470604.6031239999</c:v>
                </c:pt>
                <c:pt idx="2">
                  <c:v>1855597.8375925997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-1.1938540690304461E-16"/>
                  <c:y val="-9.7264427343983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1461345.9207300001</c:v>
                </c:pt>
                <c:pt idx="1">
                  <c:v>1526388.3048759999</c:v>
                </c:pt>
                <c:pt idx="2">
                  <c:v>1590944.0066074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645722.09739720833</c:v>
                </c:pt>
                <c:pt idx="1">
                  <c:v>951699.51870963443</c:v>
                </c:pt>
                <c:pt idx="2">
                  <c:v>1223187.0094668665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36715.521541238064</c:v>
                </c:pt>
                <c:pt idx="1">
                  <c:v>39369.689562132968</c:v>
                </c:pt>
                <c:pt idx="2">
                  <c:v>42215.727603864456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452005.46817804582</c:v>
                </c:pt>
                <c:pt idx="1">
                  <c:v>666189.6630967441</c:v>
                </c:pt>
                <c:pt idx="2">
                  <c:v>856230.90662680648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645722.09739720833</c:v>
                </c:pt>
                <c:pt idx="1">
                  <c:v>951699.51870963443</c:v>
                </c:pt>
                <c:pt idx="2">
                  <c:v>1223187.0094668665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9D8-406C-85A2-6987FDCE9F1C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D9D8-406C-85A2-6987FDCE9F1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6.349205291137726E-3"/>
                  <c:y val="2.201581671745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B-4027-A015-DEABE7946168}"/>
                </c:ext>
              </c:extLst>
            </c:dLbl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452005.46817804582</c:v>
                </c:pt>
                <c:pt idx="1">
                  <c:v>666189.6630967441</c:v>
                </c:pt>
                <c:pt idx="2">
                  <c:v>856230.90662680648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3035987.1076779244</c:v>
                </c:pt>
                <c:pt idx="1">
                  <c:v>2366284.4784587622</c:v>
                </c:pt>
                <c:pt idx="2">
                  <c:v>669702.62921916228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3161173.2737286817</c:v>
                </c:pt>
                <c:pt idx="1">
                  <c:v>2329974.7888966296</c:v>
                </c:pt>
                <c:pt idx="2">
                  <c:v>831198.48483205214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3365020.8489648774</c:v>
                </c:pt>
                <c:pt idx="1">
                  <c:v>2290880.2612927654</c:v>
                </c:pt>
                <c:pt idx="2">
                  <c:v>1074140.587672112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504825</xdr:colOff>
      <xdr:row>1</xdr:row>
      <xdr:rowOff>123824</xdr:rowOff>
    </xdr:from>
    <xdr:to>
      <xdr:col>21</xdr:col>
      <xdr:colOff>247649</xdr:colOff>
      <xdr:row>13</xdr:row>
      <xdr:rowOff>47623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7A7F63-DEB3-4703-8635-12453C1A9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476250</xdr:colOff>
      <xdr:row>28</xdr:row>
      <xdr:rowOff>133350</xdr:rowOff>
    </xdr:from>
    <xdr:to>
      <xdr:col>20</xdr:col>
      <xdr:colOff>257175</xdr:colOff>
      <xdr:row>39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C0505F-BE48-4EBB-887E-B86CDEF1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9775" y="54673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466725</xdr:colOff>
      <xdr:row>1</xdr:row>
      <xdr:rowOff>57150</xdr:rowOff>
    </xdr:from>
    <xdr:to>
      <xdr:col>22</xdr:col>
      <xdr:colOff>247650</xdr:colOff>
      <xdr:row>12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F0EE70-B6C9-4C21-9291-8C891A2A8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2476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190500</xdr:colOff>
      <xdr:row>0</xdr:row>
      <xdr:rowOff>152400</xdr:rowOff>
    </xdr:from>
    <xdr:to>
      <xdr:col>25</xdr:col>
      <xdr:colOff>581025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B0404-9BA3-42B1-B6AB-CB7B06D31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0850" y="1524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481012</xdr:colOff>
      <xdr:row>13</xdr:row>
      <xdr:rowOff>138112</xdr:rowOff>
    </xdr:from>
    <xdr:to>
      <xdr:col>10</xdr:col>
      <xdr:colOff>523875</xdr:colOff>
      <xdr:row>28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381000</xdr:colOff>
      <xdr:row>0</xdr:row>
      <xdr:rowOff>76200</xdr:rowOff>
    </xdr:from>
    <xdr:to>
      <xdr:col>26</xdr:col>
      <xdr:colOff>161925</xdr:colOff>
      <xdr:row>11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488BA6-D24F-4414-98D8-46B9A560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762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123825</xdr:colOff>
      <xdr:row>1</xdr:row>
      <xdr:rowOff>161925</xdr:rowOff>
    </xdr:from>
    <xdr:to>
      <xdr:col>25</xdr:col>
      <xdr:colOff>514350</xdr:colOff>
      <xdr:row>12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1C27E1-EC99-48E1-85FB-3F567FDA4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3524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180975</xdr:colOff>
      <xdr:row>3</xdr:row>
      <xdr:rowOff>85725</xdr:rowOff>
    </xdr:from>
    <xdr:to>
      <xdr:col>5</xdr:col>
      <xdr:colOff>942975</xdr:colOff>
      <xdr:row>14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DDC8AF-00F7-493D-ACED-A4E6F936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6572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2</xdr:row>
      <xdr:rowOff>38100</xdr:rowOff>
    </xdr:from>
    <xdr:to>
      <xdr:col>20</xdr:col>
      <xdr:colOff>228600</xdr:colOff>
      <xdr:row>26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22</xdr:col>
      <xdr:colOff>95250</xdr:colOff>
      <xdr:row>1</xdr:row>
      <xdr:rowOff>171450</xdr:rowOff>
    </xdr:from>
    <xdr:to>
      <xdr:col>26</xdr:col>
      <xdr:colOff>485775</xdr:colOff>
      <xdr:row>12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EBC11A-0CC9-446F-A3FD-F2088337F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7725" y="3619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380999</xdr:colOff>
      <xdr:row>5</xdr:row>
      <xdr:rowOff>80962</xdr:rowOff>
    </xdr:from>
    <xdr:to>
      <xdr:col>18</xdr:col>
      <xdr:colOff>438149</xdr:colOff>
      <xdr:row>30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247650</xdr:colOff>
      <xdr:row>0</xdr:row>
      <xdr:rowOff>161925</xdr:rowOff>
    </xdr:from>
    <xdr:to>
      <xdr:col>24</xdr:col>
      <xdr:colOff>28575</xdr:colOff>
      <xdr:row>11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8DBAAD-8F74-492E-A301-6E5F89A91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30425" y="1619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590549</xdr:colOff>
      <xdr:row>2</xdr:row>
      <xdr:rowOff>71436</xdr:rowOff>
    </xdr:from>
    <xdr:to>
      <xdr:col>17</xdr:col>
      <xdr:colOff>19050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428625</xdr:colOff>
      <xdr:row>0</xdr:row>
      <xdr:rowOff>0</xdr:rowOff>
    </xdr:from>
    <xdr:to>
      <xdr:col>25</xdr:col>
      <xdr:colOff>209550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686A4A-F766-4155-B1BD-E684AC297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51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6</xdr:row>
      <xdr:rowOff>4762</xdr:rowOff>
    </xdr:from>
    <xdr:to>
      <xdr:col>14</xdr:col>
      <xdr:colOff>19050</xdr:colOff>
      <xdr:row>20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07349C-3861-B022-402E-D425B1744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409575</xdr:colOff>
      <xdr:row>2</xdr:row>
      <xdr:rowOff>180975</xdr:rowOff>
    </xdr:from>
    <xdr:to>
      <xdr:col>24</xdr:col>
      <xdr:colOff>190500</xdr:colOff>
      <xdr:row>13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7F962C-ED88-43E9-B33C-BEFAA9D73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44675" y="5619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485775</xdr:colOff>
      <xdr:row>0</xdr:row>
      <xdr:rowOff>38100</xdr:rowOff>
    </xdr:from>
    <xdr:to>
      <xdr:col>24</xdr:col>
      <xdr:colOff>266700</xdr:colOff>
      <xdr:row>11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B57722-F315-427D-9BCD-6C3AD8655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381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257175</xdr:colOff>
      <xdr:row>0</xdr:row>
      <xdr:rowOff>114300</xdr:rowOff>
    </xdr:from>
    <xdr:to>
      <xdr:col>25</xdr:col>
      <xdr:colOff>38100</xdr:colOff>
      <xdr:row>11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80BE9-020B-4B25-A5E1-D65FFFE0F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1143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2</xdr:row>
      <xdr:rowOff>42862</xdr:rowOff>
    </xdr:from>
    <xdr:to>
      <xdr:col>20</xdr:col>
      <xdr:colOff>552450</xdr:colOff>
      <xdr:row>16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276225</xdr:colOff>
      <xdr:row>16</xdr:row>
      <xdr:rowOff>161925</xdr:rowOff>
    </xdr:from>
    <xdr:to>
      <xdr:col>12</xdr:col>
      <xdr:colOff>571500</xdr:colOff>
      <xdr:row>27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215A36-7125-484C-BF94-745147DB3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32099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Q66"/>
  <sheetViews>
    <sheetView showGridLines="0" tabSelected="1" topLeftCell="A10" workbookViewId="0">
      <selection activeCell="B46" sqref="B46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6"/>
      <c r="C3" s="146"/>
      <c r="D3" s="146"/>
      <c r="E3" s="146"/>
    </row>
    <row r="4" spans="2:5">
      <c r="B4" s="147" t="s">
        <v>109</v>
      </c>
      <c r="C4" s="147" t="s">
        <v>57</v>
      </c>
      <c r="D4" s="147" t="s">
        <v>10</v>
      </c>
      <c r="E4" s="147" t="s">
        <v>8</v>
      </c>
    </row>
    <row r="5" spans="2:5">
      <c r="B5" s="66" t="s">
        <v>133</v>
      </c>
      <c r="C5" s="148">
        <v>0.05</v>
      </c>
      <c r="D5" s="148">
        <v>0.95</v>
      </c>
      <c r="E5" s="148">
        <f>C5+D5</f>
        <v>1</v>
      </c>
    </row>
    <row r="6" spans="2:5">
      <c r="B6" s="66" t="s">
        <v>134</v>
      </c>
      <c r="C6" s="148">
        <v>0.05</v>
      </c>
      <c r="D6" s="148">
        <v>0.95</v>
      </c>
      <c r="E6" s="148">
        <f t="shared" ref="E6:E12" si="0">C6+D6</f>
        <v>1</v>
      </c>
    </row>
    <row r="7" spans="2:5">
      <c r="B7" s="66" t="s">
        <v>128</v>
      </c>
      <c r="C7" s="148">
        <v>0.3</v>
      </c>
      <c r="D7" s="148">
        <v>0.7</v>
      </c>
      <c r="E7" s="148">
        <f t="shared" si="0"/>
        <v>1</v>
      </c>
    </row>
    <row r="8" spans="2:5">
      <c r="B8" s="66" t="s">
        <v>102</v>
      </c>
      <c r="C8" s="148">
        <v>0.05</v>
      </c>
      <c r="D8" s="148">
        <v>0.95</v>
      </c>
      <c r="E8" s="148">
        <f t="shared" si="0"/>
        <v>1</v>
      </c>
    </row>
    <row r="9" spans="2:5">
      <c r="B9" s="66" t="s">
        <v>103</v>
      </c>
      <c r="C9" s="148">
        <v>0.05</v>
      </c>
      <c r="D9" s="148">
        <v>0.95</v>
      </c>
      <c r="E9" s="148">
        <f t="shared" si="0"/>
        <v>1</v>
      </c>
    </row>
    <row r="10" spans="2:5">
      <c r="B10" s="66" t="s">
        <v>104</v>
      </c>
      <c r="C10" s="148">
        <v>0.05</v>
      </c>
      <c r="D10" s="148">
        <v>0.95</v>
      </c>
      <c r="E10" s="148">
        <f t="shared" si="0"/>
        <v>1</v>
      </c>
    </row>
    <row r="11" spans="2:5">
      <c r="B11" s="66" t="s">
        <v>105</v>
      </c>
      <c r="C11" s="148">
        <v>0.05</v>
      </c>
      <c r="D11" s="148">
        <v>0.95</v>
      </c>
      <c r="E11" s="148">
        <f t="shared" si="0"/>
        <v>1</v>
      </c>
    </row>
    <row r="12" spans="2:5">
      <c r="B12" s="66" t="s">
        <v>106</v>
      </c>
      <c r="C12" s="148">
        <v>0.05</v>
      </c>
      <c r="D12" s="148">
        <v>0.95</v>
      </c>
      <c r="E12" s="148">
        <f t="shared" si="0"/>
        <v>1</v>
      </c>
    </row>
    <row r="13" spans="2:5">
      <c r="B13" s="66" t="s">
        <v>107</v>
      </c>
      <c r="C13" s="148">
        <v>0.05</v>
      </c>
      <c r="D13" s="148">
        <v>0.95</v>
      </c>
      <c r="E13" s="148">
        <f t="shared" ref="E13:E14" si="1">C13+D13</f>
        <v>1</v>
      </c>
    </row>
    <row r="14" spans="2:5">
      <c r="B14" s="66" t="s">
        <v>108</v>
      </c>
      <c r="C14" s="148">
        <v>0.05</v>
      </c>
      <c r="D14" s="148">
        <v>0.95</v>
      </c>
      <c r="E14" s="148">
        <f t="shared" si="1"/>
        <v>1</v>
      </c>
    </row>
    <row r="16" spans="2:5">
      <c r="B16" s="146"/>
      <c r="C16" s="146"/>
      <c r="D16" s="146"/>
      <c r="E16" s="146"/>
    </row>
    <row r="17" spans="2:14">
      <c r="B17" s="147" t="s">
        <v>110</v>
      </c>
      <c r="C17" s="147">
        <v>1</v>
      </c>
      <c r="D17" s="147">
        <v>2</v>
      </c>
      <c r="E17" s="147">
        <v>3</v>
      </c>
    </row>
    <row r="18" spans="2:14">
      <c r="B18" s="70" t="s">
        <v>114</v>
      </c>
      <c r="C18" s="94">
        <v>250000</v>
      </c>
      <c r="D18" s="94">
        <f>C18*1.03</f>
        <v>257500</v>
      </c>
      <c r="E18" s="94">
        <f>D18*1.03</f>
        <v>265225</v>
      </c>
    </row>
    <row r="19" spans="2:14">
      <c r="B19" s="70" t="s">
        <v>50</v>
      </c>
      <c r="C19" s="94">
        <f>'Profit and Loss Statement'!E6*0.0157</f>
        <v>42198.204089999999</v>
      </c>
      <c r="D19" s="94">
        <f>'Profit and Loss Statement'!F6*0.0157</f>
        <v>50637.844907999992</v>
      </c>
      <c r="E19" s="94">
        <f>'Profit and Loss Statement'!G6*0.0157</f>
        <v>58233.521644199987</v>
      </c>
    </row>
    <row r="20" spans="2:14">
      <c r="B20" s="70" t="s">
        <v>116</v>
      </c>
      <c r="C20" s="94">
        <f>'Profit and Loss Statement'!E6*0.0152</f>
        <v>40854.312239999999</v>
      </c>
      <c r="D20" s="94">
        <f>'Profit and Loss Statement'!F6*0.0152</f>
        <v>49025.174687999999</v>
      </c>
      <c r="E20" s="94">
        <f>'Profit and Loss Statement'!G6*0.0152</f>
        <v>56378.950891199995</v>
      </c>
    </row>
    <row r="21" spans="2:14">
      <c r="B21" s="70" t="s">
        <v>49</v>
      </c>
      <c r="C21" s="94">
        <f>'Personnel - Editable'!H16*0.06</f>
        <v>57600</v>
      </c>
      <c r="D21" s="94">
        <f>'Personnel - Editable'!I16*0.06</f>
        <v>59328</v>
      </c>
      <c r="E21" s="94">
        <f>'Personnel - Editable'!J16*0.06</f>
        <v>61107.839999999997</v>
      </c>
      <c r="F21" s="120"/>
      <c r="G21" s="120"/>
    </row>
    <row r="22" spans="2:14">
      <c r="B22" s="70" t="s">
        <v>115</v>
      </c>
      <c r="C22" s="94">
        <f>'Profit and Loss Statement'!E6*0.012</f>
        <v>32253.404400000003</v>
      </c>
      <c r="D22" s="94">
        <f>'Profit and Loss Statement'!F6*0.012</f>
        <v>38704.085279999999</v>
      </c>
      <c r="E22" s="94">
        <f>'Profit and Loss Statement'!G6*0.012</f>
        <v>44509.698071999999</v>
      </c>
      <c r="F22" s="1"/>
      <c r="G22" s="1"/>
    </row>
    <row r="23" spans="2:14">
      <c r="B23" s="70" t="s">
        <v>1</v>
      </c>
      <c r="C23" s="94">
        <v>5000</v>
      </c>
      <c r="D23" s="94">
        <f>C23*1.35</f>
        <v>6750</v>
      </c>
      <c r="E23" s="94">
        <f>D23*1.35</f>
        <v>9112.5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9" t="s">
        <v>111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</row>
    <row r="31" spans="2:14">
      <c r="B31" s="151" t="s">
        <v>5</v>
      </c>
      <c r="C31" s="152">
        <v>1</v>
      </c>
      <c r="D31" s="152">
        <f>C31+1</f>
        <v>2</v>
      </c>
      <c r="E31" s="152">
        <f t="shared" ref="E31:N31" si="2">D31+1</f>
        <v>3</v>
      </c>
      <c r="F31" s="152">
        <f t="shared" si="2"/>
        <v>4</v>
      </c>
      <c r="G31" s="152">
        <f t="shared" si="2"/>
        <v>5</v>
      </c>
      <c r="H31" s="152">
        <f t="shared" si="2"/>
        <v>6</v>
      </c>
      <c r="I31" s="152">
        <f t="shared" si="2"/>
        <v>7</v>
      </c>
      <c r="J31" s="152">
        <f t="shared" si="2"/>
        <v>8</v>
      </c>
      <c r="K31" s="152">
        <f t="shared" si="2"/>
        <v>9</v>
      </c>
      <c r="L31" s="152">
        <f t="shared" si="2"/>
        <v>10</v>
      </c>
      <c r="M31" s="152">
        <f t="shared" si="2"/>
        <v>11</v>
      </c>
      <c r="N31" s="152">
        <f t="shared" si="2"/>
        <v>12</v>
      </c>
    </row>
    <row r="32" spans="2:14">
      <c r="B32" s="66" t="str">
        <f t="shared" ref="B32:B41" si="3">B5</f>
        <v>Membership Fees</v>
      </c>
      <c r="C32" s="94">
        <v>152000</v>
      </c>
      <c r="D32" s="94">
        <f>C32+20</f>
        <v>152020</v>
      </c>
      <c r="E32" s="94">
        <f t="shared" ref="E32:N32" si="4">D32+20</f>
        <v>152040</v>
      </c>
      <c r="F32" s="94">
        <f t="shared" si="4"/>
        <v>152060</v>
      </c>
      <c r="G32" s="94">
        <f t="shared" si="4"/>
        <v>152080</v>
      </c>
      <c r="H32" s="94">
        <f t="shared" si="4"/>
        <v>152100</v>
      </c>
      <c r="I32" s="94">
        <f t="shared" si="4"/>
        <v>152120</v>
      </c>
      <c r="J32" s="94">
        <f t="shared" si="4"/>
        <v>152140</v>
      </c>
      <c r="K32" s="94">
        <f t="shared" si="4"/>
        <v>152160</v>
      </c>
      <c r="L32" s="94">
        <f t="shared" si="4"/>
        <v>152180</v>
      </c>
      <c r="M32" s="94">
        <f t="shared" si="4"/>
        <v>152200</v>
      </c>
      <c r="N32" s="94">
        <f t="shared" si="4"/>
        <v>152220</v>
      </c>
    </row>
    <row r="33" spans="2:17">
      <c r="B33" s="66" t="str">
        <f t="shared" si="3"/>
        <v>Instruction</v>
      </c>
      <c r="C33" s="94">
        <f>C32*0.35</f>
        <v>53200</v>
      </c>
      <c r="D33" s="94">
        <f t="shared" ref="D33:N33" si="5">D32*0.35</f>
        <v>53207</v>
      </c>
      <c r="E33" s="94">
        <f t="shared" si="5"/>
        <v>53214</v>
      </c>
      <c r="F33" s="94">
        <f t="shared" si="5"/>
        <v>53221</v>
      </c>
      <c r="G33" s="94">
        <f t="shared" si="5"/>
        <v>53228</v>
      </c>
      <c r="H33" s="94">
        <f t="shared" si="5"/>
        <v>53235</v>
      </c>
      <c r="I33" s="94">
        <f t="shared" si="5"/>
        <v>53242</v>
      </c>
      <c r="J33" s="94">
        <f t="shared" si="5"/>
        <v>53249</v>
      </c>
      <c r="K33" s="94">
        <f t="shared" si="5"/>
        <v>53256</v>
      </c>
      <c r="L33" s="94">
        <f t="shared" si="5"/>
        <v>53263</v>
      </c>
      <c r="M33" s="94">
        <f t="shared" si="5"/>
        <v>53270</v>
      </c>
      <c r="N33" s="94">
        <f t="shared" si="5"/>
        <v>53277</v>
      </c>
    </row>
    <row r="34" spans="2:17">
      <c r="B34" s="66" t="str">
        <f t="shared" si="3"/>
        <v>Product Sales</v>
      </c>
      <c r="C34" s="94">
        <f>C33*0.35</f>
        <v>18620</v>
      </c>
      <c r="D34" s="94">
        <f t="shared" ref="D34" si="6">D33*0.35</f>
        <v>18622.449999999997</v>
      </c>
      <c r="E34" s="94">
        <f t="shared" ref="E34" si="7">E33*0.35</f>
        <v>18624.899999999998</v>
      </c>
      <c r="F34" s="94">
        <f t="shared" ref="F34" si="8">F33*0.35</f>
        <v>18627.349999999999</v>
      </c>
      <c r="G34" s="94">
        <f t="shared" ref="G34" si="9">G33*0.35</f>
        <v>18629.8</v>
      </c>
      <c r="H34" s="94">
        <f t="shared" ref="H34" si="10">H33*0.35</f>
        <v>18632.25</v>
      </c>
      <c r="I34" s="94">
        <f t="shared" ref="I34" si="11">I33*0.35</f>
        <v>18634.699999999997</v>
      </c>
      <c r="J34" s="94">
        <f t="shared" ref="J34" si="12">J33*0.35</f>
        <v>18637.149999999998</v>
      </c>
      <c r="K34" s="94">
        <f t="shared" ref="K34" si="13">K33*0.35</f>
        <v>18639.599999999999</v>
      </c>
      <c r="L34" s="94">
        <f t="shared" ref="L34" si="14">L33*0.35</f>
        <v>18642.05</v>
      </c>
      <c r="M34" s="94">
        <f t="shared" ref="M34" si="15">M33*0.35</f>
        <v>18644.5</v>
      </c>
      <c r="N34" s="94">
        <f t="shared" ref="N34" si="16">N33*0.35</f>
        <v>18646.949999999997</v>
      </c>
    </row>
    <row r="35" spans="2:17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7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7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7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7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7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7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7">
      <c r="B42" s="153" t="s">
        <v>8</v>
      </c>
      <c r="C42" s="154">
        <f>SUM(C32:C41)</f>
        <v>223820</v>
      </c>
      <c r="D42" s="154">
        <f t="shared" ref="D42:N42" si="17">SUM(D32:D41)</f>
        <v>223849.45</v>
      </c>
      <c r="E42" s="154">
        <f t="shared" si="17"/>
        <v>223878.9</v>
      </c>
      <c r="F42" s="154">
        <f t="shared" si="17"/>
        <v>223908.35</v>
      </c>
      <c r="G42" s="154">
        <f t="shared" si="17"/>
        <v>223937.8</v>
      </c>
      <c r="H42" s="154">
        <f t="shared" si="17"/>
        <v>223967.25</v>
      </c>
      <c r="I42" s="154">
        <f t="shared" si="17"/>
        <v>223996.7</v>
      </c>
      <c r="J42" s="154">
        <f t="shared" si="17"/>
        <v>224026.15</v>
      </c>
      <c r="K42" s="154">
        <f t="shared" si="17"/>
        <v>224055.6</v>
      </c>
      <c r="L42" s="154">
        <f t="shared" si="17"/>
        <v>224085.05</v>
      </c>
      <c r="M42" s="154">
        <f t="shared" si="17"/>
        <v>224114.5</v>
      </c>
      <c r="N42" s="154">
        <f t="shared" si="17"/>
        <v>224143.95</v>
      </c>
      <c r="Q42" s="145" t="s">
        <v>138</v>
      </c>
    </row>
    <row r="44" spans="2:17">
      <c r="B44" s="146"/>
      <c r="C44" s="146"/>
    </row>
    <row r="45" spans="2:17">
      <c r="B45" s="147" t="s">
        <v>123</v>
      </c>
      <c r="C45" s="147"/>
    </row>
    <row r="46" spans="2:17">
      <c r="B46" s="66" t="s">
        <v>3</v>
      </c>
      <c r="C46" s="144">
        <v>0.2</v>
      </c>
    </row>
    <row r="47" spans="2:17">
      <c r="B47" s="66" t="s">
        <v>4</v>
      </c>
      <c r="C47" s="144">
        <v>0.15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18">D50+1</f>
        <v>3</v>
      </c>
      <c r="F50" s="112">
        <f t="shared" si="18"/>
        <v>4</v>
      </c>
      <c r="G50" s="112">
        <f t="shared" si="18"/>
        <v>5</v>
      </c>
      <c r="H50" s="112">
        <f t="shared" si="18"/>
        <v>6</v>
      </c>
      <c r="I50" s="112">
        <f t="shared" si="18"/>
        <v>7</v>
      </c>
      <c r="J50" s="112">
        <f t="shared" si="18"/>
        <v>8</v>
      </c>
      <c r="K50" s="112">
        <f t="shared" si="18"/>
        <v>9</v>
      </c>
      <c r="L50" s="112">
        <f t="shared" si="18"/>
        <v>10</v>
      </c>
      <c r="M50" s="112">
        <f t="shared" si="18"/>
        <v>11</v>
      </c>
      <c r="N50" s="112">
        <f t="shared" si="18"/>
        <v>12</v>
      </c>
    </row>
    <row r="51" spans="2:14">
      <c r="B51" s="112" t="str">
        <f t="shared" ref="B51:B60" si="19">B32</f>
        <v>Membership Fees</v>
      </c>
      <c r="C51" s="114">
        <f t="shared" ref="C51:N51" si="20">C32*($C$5/$E$5)</f>
        <v>7600</v>
      </c>
      <c r="D51" s="114">
        <f t="shared" si="20"/>
        <v>7601</v>
      </c>
      <c r="E51" s="114">
        <f t="shared" si="20"/>
        <v>7602</v>
      </c>
      <c r="F51" s="114">
        <f t="shared" si="20"/>
        <v>7603</v>
      </c>
      <c r="G51" s="114">
        <f t="shared" si="20"/>
        <v>7604</v>
      </c>
      <c r="H51" s="114">
        <f t="shared" si="20"/>
        <v>7605</v>
      </c>
      <c r="I51" s="114">
        <f t="shared" si="20"/>
        <v>7606</v>
      </c>
      <c r="J51" s="114">
        <f t="shared" si="20"/>
        <v>7607</v>
      </c>
      <c r="K51" s="114">
        <f t="shared" si="20"/>
        <v>7608</v>
      </c>
      <c r="L51" s="114">
        <f t="shared" si="20"/>
        <v>7609</v>
      </c>
      <c r="M51" s="114">
        <f t="shared" si="20"/>
        <v>7610</v>
      </c>
      <c r="N51" s="114">
        <f t="shared" si="20"/>
        <v>7611</v>
      </c>
    </row>
    <row r="52" spans="2:14">
      <c r="B52" s="112" t="str">
        <f t="shared" si="19"/>
        <v>Instruction</v>
      </c>
      <c r="C52" s="114">
        <f t="shared" ref="C52:N52" si="21">C33*($C$6/$E$6)</f>
        <v>2660</v>
      </c>
      <c r="D52" s="114">
        <f t="shared" si="21"/>
        <v>2660.3500000000004</v>
      </c>
      <c r="E52" s="114">
        <f t="shared" si="21"/>
        <v>2660.7000000000003</v>
      </c>
      <c r="F52" s="114">
        <f t="shared" si="21"/>
        <v>2661.05</v>
      </c>
      <c r="G52" s="114">
        <f t="shared" si="21"/>
        <v>2661.4</v>
      </c>
      <c r="H52" s="114">
        <f t="shared" si="21"/>
        <v>2661.75</v>
      </c>
      <c r="I52" s="114">
        <f t="shared" si="21"/>
        <v>2662.1000000000004</v>
      </c>
      <c r="J52" s="114">
        <f t="shared" si="21"/>
        <v>2662.4500000000003</v>
      </c>
      <c r="K52" s="114">
        <f t="shared" si="21"/>
        <v>2662.8</v>
      </c>
      <c r="L52" s="114">
        <f t="shared" si="21"/>
        <v>2663.15</v>
      </c>
      <c r="M52" s="114">
        <f t="shared" si="21"/>
        <v>2663.5</v>
      </c>
      <c r="N52" s="114">
        <f t="shared" si="21"/>
        <v>2663.8500000000004</v>
      </c>
    </row>
    <row r="53" spans="2:14">
      <c r="B53" s="112" t="str">
        <f t="shared" si="19"/>
        <v>Product Sales</v>
      </c>
      <c r="C53" s="114">
        <f t="shared" ref="C53:N53" si="22">C34*($C$7/$E$7)</f>
        <v>5586</v>
      </c>
      <c r="D53" s="114">
        <f t="shared" si="22"/>
        <v>5586.7349999999988</v>
      </c>
      <c r="E53" s="114">
        <f t="shared" si="22"/>
        <v>5587.4699999999993</v>
      </c>
      <c r="F53" s="114">
        <f t="shared" si="22"/>
        <v>5588.204999999999</v>
      </c>
      <c r="G53" s="114">
        <f t="shared" si="22"/>
        <v>5588.94</v>
      </c>
      <c r="H53" s="114">
        <f t="shared" si="22"/>
        <v>5589.6750000000002</v>
      </c>
      <c r="I53" s="114">
        <f t="shared" si="22"/>
        <v>5590.4099999999989</v>
      </c>
      <c r="J53" s="114">
        <f t="shared" si="22"/>
        <v>5591.1449999999995</v>
      </c>
      <c r="K53" s="114">
        <f t="shared" si="22"/>
        <v>5591.8799999999992</v>
      </c>
      <c r="L53" s="114">
        <f t="shared" si="22"/>
        <v>5592.6149999999998</v>
      </c>
      <c r="M53" s="114">
        <f t="shared" si="22"/>
        <v>5593.3499999999995</v>
      </c>
      <c r="N53" s="114">
        <f t="shared" si="22"/>
        <v>5594.0849999999991</v>
      </c>
    </row>
    <row r="54" spans="2:14">
      <c r="B54" s="112" t="str">
        <f t="shared" si="19"/>
        <v>Item 4</v>
      </c>
      <c r="C54" s="114">
        <f t="shared" ref="C54:N54" si="23">C35*($C$8/$E$8)</f>
        <v>0</v>
      </c>
      <c r="D54" s="114">
        <f t="shared" si="23"/>
        <v>0</v>
      </c>
      <c r="E54" s="114">
        <f t="shared" si="23"/>
        <v>0</v>
      </c>
      <c r="F54" s="114">
        <f t="shared" si="23"/>
        <v>0</v>
      </c>
      <c r="G54" s="114">
        <f t="shared" si="23"/>
        <v>0</v>
      </c>
      <c r="H54" s="114">
        <f t="shared" si="23"/>
        <v>0</v>
      </c>
      <c r="I54" s="114">
        <f t="shared" si="23"/>
        <v>0</v>
      </c>
      <c r="J54" s="114">
        <f t="shared" si="23"/>
        <v>0</v>
      </c>
      <c r="K54" s="114">
        <f t="shared" si="23"/>
        <v>0</v>
      </c>
      <c r="L54" s="114">
        <f t="shared" si="23"/>
        <v>0</v>
      </c>
      <c r="M54" s="114">
        <f t="shared" si="23"/>
        <v>0</v>
      </c>
      <c r="N54" s="114">
        <f t="shared" si="23"/>
        <v>0</v>
      </c>
    </row>
    <row r="55" spans="2:14">
      <c r="B55" s="112" t="str">
        <f t="shared" si="19"/>
        <v>Item 5</v>
      </c>
      <c r="C55" s="114">
        <f t="shared" ref="C55:N55" si="24">C36*($C$9/$E$9)</f>
        <v>0</v>
      </c>
      <c r="D55" s="114">
        <f t="shared" si="24"/>
        <v>0</v>
      </c>
      <c r="E55" s="114">
        <f t="shared" si="24"/>
        <v>0</v>
      </c>
      <c r="F55" s="114">
        <f t="shared" si="24"/>
        <v>0</v>
      </c>
      <c r="G55" s="114">
        <f t="shared" si="24"/>
        <v>0</v>
      </c>
      <c r="H55" s="114">
        <f t="shared" si="24"/>
        <v>0</v>
      </c>
      <c r="I55" s="114">
        <f t="shared" si="24"/>
        <v>0</v>
      </c>
      <c r="J55" s="114">
        <f t="shared" si="24"/>
        <v>0</v>
      </c>
      <c r="K55" s="114">
        <f t="shared" si="24"/>
        <v>0</v>
      </c>
      <c r="L55" s="114">
        <f t="shared" si="24"/>
        <v>0</v>
      </c>
      <c r="M55" s="114">
        <f t="shared" si="24"/>
        <v>0</v>
      </c>
      <c r="N55" s="114">
        <f t="shared" si="24"/>
        <v>0</v>
      </c>
    </row>
    <row r="56" spans="2:14">
      <c r="B56" s="112" t="str">
        <f t="shared" si="19"/>
        <v>Item 6</v>
      </c>
      <c r="C56" s="114">
        <f t="shared" ref="C56:N56" si="25">C37*($C$10/$E$10)</f>
        <v>0</v>
      </c>
      <c r="D56" s="114">
        <f t="shared" si="25"/>
        <v>0</v>
      </c>
      <c r="E56" s="114">
        <f t="shared" si="25"/>
        <v>0</v>
      </c>
      <c r="F56" s="114">
        <f t="shared" si="25"/>
        <v>0</v>
      </c>
      <c r="G56" s="114">
        <f t="shared" si="25"/>
        <v>0</v>
      </c>
      <c r="H56" s="114">
        <f t="shared" si="25"/>
        <v>0</v>
      </c>
      <c r="I56" s="114">
        <f t="shared" si="25"/>
        <v>0</v>
      </c>
      <c r="J56" s="114">
        <f t="shared" si="25"/>
        <v>0</v>
      </c>
      <c r="K56" s="114">
        <f t="shared" si="25"/>
        <v>0</v>
      </c>
      <c r="L56" s="114">
        <f t="shared" si="25"/>
        <v>0</v>
      </c>
      <c r="M56" s="114">
        <f t="shared" si="25"/>
        <v>0</v>
      </c>
      <c r="N56" s="114">
        <f t="shared" si="25"/>
        <v>0</v>
      </c>
    </row>
    <row r="57" spans="2:14">
      <c r="B57" s="112" t="str">
        <f t="shared" si="19"/>
        <v>Item 7</v>
      </c>
      <c r="C57" s="114">
        <f t="shared" ref="C57:N57" si="26">C38*($C$11/$E$11)</f>
        <v>0</v>
      </c>
      <c r="D57" s="114">
        <f t="shared" si="26"/>
        <v>0</v>
      </c>
      <c r="E57" s="114">
        <f t="shared" si="26"/>
        <v>0</v>
      </c>
      <c r="F57" s="114">
        <f t="shared" si="26"/>
        <v>0</v>
      </c>
      <c r="G57" s="114">
        <f t="shared" si="26"/>
        <v>0</v>
      </c>
      <c r="H57" s="114">
        <f t="shared" si="26"/>
        <v>0</v>
      </c>
      <c r="I57" s="114">
        <f t="shared" si="26"/>
        <v>0</v>
      </c>
      <c r="J57" s="114">
        <f t="shared" si="26"/>
        <v>0</v>
      </c>
      <c r="K57" s="114">
        <f t="shared" si="26"/>
        <v>0</v>
      </c>
      <c r="L57" s="114">
        <f t="shared" si="26"/>
        <v>0</v>
      </c>
      <c r="M57" s="114">
        <f t="shared" si="26"/>
        <v>0</v>
      </c>
      <c r="N57" s="114">
        <f t="shared" si="26"/>
        <v>0</v>
      </c>
    </row>
    <row r="58" spans="2:14">
      <c r="B58" s="112" t="str">
        <f t="shared" si="19"/>
        <v>Item 8</v>
      </c>
      <c r="C58" s="114">
        <f t="shared" ref="C58:N58" si="27">C39*($C$12/$E$12)</f>
        <v>0</v>
      </c>
      <c r="D58" s="114">
        <f t="shared" si="27"/>
        <v>0</v>
      </c>
      <c r="E58" s="114">
        <f t="shared" si="27"/>
        <v>0</v>
      </c>
      <c r="F58" s="114">
        <f t="shared" si="27"/>
        <v>0</v>
      </c>
      <c r="G58" s="114">
        <f t="shared" si="27"/>
        <v>0</v>
      </c>
      <c r="H58" s="114">
        <f t="shared" si="27"/>
        <v>0</v>
      </c>
      <c r="I58" s="114">
        <f t="shared" si="27"/>
        <v>0</v>
      </c>
      <c r="J58" s="114">
        <f t="shared" si="27"/>
        <v>0</v>
      </c>
      <c r="K58" s="114">
        <f t="shared" si="27"/>
        <v>0</v>
      </c>
      <c r="L58" s="114">
        <f t="shared" si="27"/>
        <v>0</v>
      </c>
      <c r="M58" s="114">
        <f t="shared" si="27"/>
        <v>0</v>
      </c>
      <c r="N58" s="114">
        <f t="shared" si="27"/>
        <v>0</v>
      </c>
    </row>
    <row r="59" spans="2:14">
      <c r="B59" s="112" t="str">
        <f t="shared" si="19"/>
        <v>Item 9</v>
      </c>
      <c r="C59" s="114">
        <f t="shared" ref="C59:N59" si="28">C40*($C$13/$E$13)</f>
        <v>0</v>
      </c>
      <c r="D59" s="114">
        <f t="shared" si="28"/>
        <v>0</v>
      </c>
      <c r="E59" s="114">
        <f t="shared" si="28"/>
        <v>0</v>
      </c>
      <c r="F59" s="114">
        <f t="shared" si="28"/>
        <v>0</v>
      </c>
      <c r="G59" s="114">
        <f t="shared" si="28"/>
        <v>0</v>
      </c>
      <c r="H59" s="114">
        <f t="shared" si="28"/>
        <v>0</v>
      </c>
      <c r="I59" s="114">
        <f t="shared" si="28"/>
        <v>0</v>
      </c>
      <c r="J59" s="114">
        <f t="shared" si="28"/>
        <v>0</v>
      </c>
      <c r="K59" s="114">
        <f t="shared" si="28"/>
        <v>0</v>
      </c>
      <c r="L59" s="114">
        <f t="shared" si="28"/>
        <v>0</v>
      </c>
      <c r="M59" s="114">
        <f t="shared" si="28"/>
        <v>0</v>
      </c>
      <c r="N59" s="114">
        <f t="shared" si="28"/>
        <v>0</v>
      </c>
    </row>
    <row r="60" spans="2:14">
      <c r="B60" s="112" t="str">
        <f t="shared" si="19"/>
        <v>Item 10</v>
      </c>
      <c r="C60" s="114">
        <f t="shared" ref="C60:N60" si="29">C41*($C$14/$E$14)</f>
        <v>0</v>
      </c>
      <c r="D60" s="114">
        <f t="shared" si="29"/>
        <v>0</v>
      </c>
      <c r="E60" s="114">
        <f t="shared" si="29"/>
        <v>0</v>
      </c>
      <c r="F60" s="114">
        <f t="shared" si="29"/>
        <v>0</v>
      </c>
      <c r="G60" s="114">
        <f t="shared" si="29"/>
        <v>0</v>
      </c>
      <c r="H60" s="114">
        <f t="shared" si="29"/>
        <v>0</v>
      </c>
      <c r="I60" s="114">
        <f t="shared" si="29"/>
        <v>0</v>
      </c>
      <c r="J60" s="114">
        <f t="shared" si="29"/>
        <v>0</v>
      </c>
      <c r="K60" s="114">
        <f t="shared" si="29"/>
        <v>0</v>
      </c>
      <c r="L60" s="114">
        <f t="shared" si="29"/>
        <v>0</v>
      </c>
      <c r="M60" s="114">
        <f t="shared" si="29"/>
        <v>0</v>
      </c>
      <c r="N60" s="114">
        <f t="shared" si="29"/>
        <v>0</v>
      </c>
    </row>
    <row r="61" spans="2:14">
      <c r="B61" s="112" t="s">
        <v>8</v>
      </c>
      <c r="C61" s="114">
        <f>SUM(C51:C60)</f>
        <v>15846</v>
      </c>
      <c r="D61" s="114">
        <f t="shared" ref="D61:N61" si="30">SUM(D51:D60)</f>
        <v>15848.084999999999</v>
      </c>
      <c r="E61" s="114">
        <f t="shared" si="30"/>
        <v>15850.17</v>
      </c>
      <c r="F61" s="114">
        <f t="shared" si="30"/>
        <v>15852.254999999997</v>
      </c>
      <c r="G61" s="114">
        <f t="shared" si="30"/>
        <v>15854.34</v>
      </c>
      <c r="H61" s="114">
        <f t="shared" si="30"/>
        <v>15856.424999999999</v>
      </c>
      <c r="I61" s="114">
        <f t="shared" si="30"/>
        <v>15858.509999999998</v>
      </c>
      <c r="J61" s="114">
        <f t="shared" si="30"/>
        <v>15860.595000000001</v>
      </c>
      <c r="K61" s="114">
        <f t="shared" si="30"/>
        <v>15862.679999999998</v>
      </c>
      <c r="L61" s="114">
        <f t="shared" si="30"/>
        <v>15864.764999999999</v>
      </c>
      <c r="M61" s="114">
        <f t="shared" si="30"/>
        <v>15866.849999999999</v>
      </c>
      <c r="N61" s="114">
        <f t="shared" si="30"/>
        <v>15868.934999999999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31">D65+1</f>
        <v>3</v>
      </c>
      <c r="F65" s="112">
        <f t="shared" si="31"/>
        <v>4</v>
      </c>
      <c r="G65" s="112">
        <f t="shared" si="31"/>
        <v>5</v>
      </c>
      <c r="H65" s="112">
        <f t="shared" si="31"/>
        <v>6</v>
      </c>
      <c r="I65" s="112">
        <f t="shared" si="31"/>
        <v>7</v>
      </c>
      <c r="J65" s="112">
        <f t="shared" si="31"/>
        <v>8</v>
      </c>
      <c r="K65" s="112">
        <f t="shared" si="31"/>
        <v>9</v>
      </c>
      <c r="L65" s="112">
        <f t="shared" si="31"/>
        <v>10</v>
      </c>
      <c r="M65" s="112">
        <f t="shared" si="31"/>
        <v>11</v>
      </c>
      <c r="N65" s="112">
        <f t="shared" si="31"/>
        <v>12</v>
      </c>
    </row>
    <row r="66" spans="2:14">
      <c r="B66" s="112" t="s">
        <v>8</v>
      </c>
      <c r="C66" s="114">
        <f t="shared" ref="C66:N66" si="32">C42-C61</f>
        <v>207974</v>
      </c>
      <c r="D66" s="114">
        <f t="shared" si="32"/>
        <v>208001.36500000002</v>
      </c>
      <c r="E66" s="114">
        <f t="shared" si="32"/>
        <v>208028.72999999998</v>
      </c>
      <c r="F66" s="114">
        <f t="shared" si="32"/>
        <v>208056.095</v>
      </c>
      <c r="G66" s="114">
        <f t="shared" si="32"/>
        <v>208083.46</v>
      </c>
      <c r="H66" s="114">
        <f t="shared" si="32"/>
        <v>208110.82500000001</v>
      </c>
      <c r="I66" s="114">
        <f t="shared" si="32"/>
        <v>208138.19</v>
      </c>
      <c r="J66" s="114">
        <f t="shared" si="32"/>
        <v>208165.55499999999</v>
      </c>
      <c r="K66" s="114">
        <f t="shared" si="32"/>
        <v>208192.92</v>
      </c>
      <c r="L66" s="114">
        <f t="shared" si="32"/>
        <v>208220.28499999997</v>
      </c>
      <c r="M66" s="114">
        <f t="shared" si="32"/>
        <v>208247.65</v>
      </c>
      <c r="N66" s="114">
        <f t="shared" si="32"/>
        <v>208275.01500000001</v>
      </c>
    </row>
  </sheetData>
  <sheetProtection algorithmName="SHA-512" hashValue="GCegG1i73YVcFCh9+T4a6wdJfU98F7oxcDSI3DcvCIPsB/lYZp6kNb3E7A9+GTdIyH/dF4bsIvgObe6Tj2V4HQ==" saltValue="6Hcjg597CbYhg5icYPb/4w==" spinCount="100000" sheet="1" objects="1" scenarios="1" selectLockedCells="1"/>
  <hyperlinks>
    <hyperlink ref="Q42" r:id="rId1" xr:uid="{340CCFD6-698F-4C46-BF39-613584B842ED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Q12" sqref="Q12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2400000</v>
      </c>
      <c r="C5" s="55"/>
      <c r="D5" s="56" t="s">
        <v>36</v>
      </c>
      <c r="E5" s="59">
        <f>PMT(B6/B8,(B7*B8),-B5)</f>
        <v>16962.700734602204</v>
      </c>
    </row>
    <row r="6" spans="1:5">
      <c r="A6" s="60" t="s">
        <v>39</v>
      </c>
      <c r="B6" s="54">
        <v>7.0000000000000007E-2</v>
      </c>
      <c r="C6" s="55"/>
      <c r="D6" s="56" t="s">
        <v>38</v>
      </c>
      <c r="E6" s="59">
        <f>SUM(D14:D600)</f>
        <v>2688810.2203806671</v>
      </c>
    </row>
    <row r="7" spans="1:5">
      <c r="A7" s="60" t="s">
        <v>40</v>
      </c>
      <c r="B7" s="60">
        <v>25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16962.700734602204</v>
      </c>
      <c r="C14" s="1">
        <f>B14-D14</f>
        <v>2962.7007346022037</v>
      </c>
      <c r="D14" s="1">
        <f>(B5*($B$6/$B$8))</f>
        <v>14000</v>
      </c>
      <c r="E14" s="1">
        <f>B5-C14</f>
        <v>2397037.2992653977</v>
      </c>
    </row>
    <row r="15" spans="1:5">
      <c r="A15">
        <f>IF(($B$7*$B$8&gt;A14),IF(($B$7*$B$8)=A14,"",A14+1),"")</f>
        <v>2</v>
      </c>
      <c r="B15" s="1">
        <f>IF(A15="","",$B$14)</f>
        <v>16962.700734602204</v>
      </c>
      <c r="C15" s="1">
        <f>IF(A15="","",B15-D15)</f>
        <v>2979.9831555540495</v>
      </c>
      <c r="D15" s="1">
        <f>IF(A15="","",(E14*($B$6/$B$8)))</f>
        <v>13982.717579048154</v>
      </c>
      <c r="E15" s="1">
        <f>IF(A15="","",E14-C15)</f>
        <v>2394057.3161098436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16962.700734602204</v>
      </c>
      <c r="C16" s="1">
        <f t="shared" ref="C16:C79" si="2">IF(A16="","",B16-D16)</f>
        <v>2997.3663906281163</v>
      </c>
      <c r="D16" s="1">
        <f t="shared" ref="D16:D79" si="3">IF(A16="","",(E15*($B$6/$B$8)))</f>
        <v>13965.334343974087</v>
      </c>
      <c r="E16" s="1">
        <f t="shared" ref="E16:E79" si="4">IF(A16="","",E15-C16)</f>
        <v>2391059.9497192153</v>
      </c>
    </row>
    <row r="17" spans="1:5">
      <c r="A17">
        <f t="shared" si="0"/>
        <v>4</v>
      </c>
      <c r="B17" s="1">
        <f t="shared" si="1"/>
        <v>16962.700734602204</v>
      </c>
      <c r="C17" s="1">
        <f t="shared" si="2"/>
        <v>3014.8510279067814</v>
      </c>
      <c r="D17" s="1">
        <f t="shared" si="3"/>
        <v>13947.849706695422</v>
      </c>
      <c r="E17" s="1">
        <f t="shared" si="4"/>
        <v>2388045.0986913084</v>
      </c>
    </row>
    <row r="18" spans="1:5">
      <c r="A18">
        <f t="shared" si="0"/>
        <v>5</v>
      </c>
      <c r="B18" s="1">
        <f t="shared" si="1"/>
        <v>16962.700734602204</v>
      </c>
      <c r="C18" s="1">
        <f t="shared" si="2"/>
        <v>3032.4376589029034</v>
      </c>
      <c r="D18" s="1">
        <f t="shared" si="3"/>
        <v>13930.2630756993</v>
      </c>
      <c r="E18" s="1">
        <f t="shared" si="4"/>
        <v>2385012.6610324057</v>
      </c>
    </row>
    <row r="19" spans="1:5">
      <c r="A19">
        <f t="shared" si="0"/>
        <v>6</v>
      </c>
      <c r="B19" s="1">
        <f t="shared" si="1"/>
        <v>16962.700734602204</v>
      </c>
      <c r="C19" s="1">
        <f t="shared" si="2"/>
        <v>3050.1268785798366</v>
      </c>
      <c r="D19" s="1">
        <f t="shared" si="3"/>
        <v>13912.573856022367</v>
      </c>
      <c r="E19" s="1">
        <f t="shared" si="4"/>
        <v>2381962.5341538261</v>
      </c>
    </row>
    <row r="20" spans="1:5">
      <c r="A20">
        <f t="shared" si="0"/>
        <v>7</v>
      </c>
      <c r="B20" s="1">
        <f t="shared" si="1"/>
        <v>16962.700734602204</v>
      </c>
      <c r="C20" s="1">
        <f t="shared" si="2"/>
        <v>3067.9192853715504</v>
      </c>
      <c r="D20" s="1">
        <f t="shared" si="3"/>
        <v>13894.781449230653</v>
      </c>
      <c r="E20" s="1">
        <f t="shared" si="4"/>
        <v>2378894.6148684546</v>
      </c>
    </row>
    <row r="21" spans="1:5">
      <c r="A21">
        <f t="shared" si="0"/>
        <v>8</v>
      </c>
      <c r="B21" s="1">
        <f t="shared" si="1"/>
        <v>16962.700734602204</v>
      </c>
      <c r="C21" s="1">
        <f t="shared" si="2"/>
        <v>3085.8154812028843</v>
      </c>
      <c r="D21" s="1">
        <f t="shared" si="3"/>
        <v>13876.885253399319</v>
      </c>
      <c r="E21" s="1">
        <f t="shared" si="4"/>
        <v>2375808.799387252</v>
      </c>
    </row>
    <row r="22" spans="1:5">
      <c r="A22">
        <f t="shared" si="0"/>
        <v>9</v>
      </c>
      <c r="B22" s="1">
        <f t="shared" si="1"/>
        <v>16962.700734602204</v>
      </c>
      <c r="C22" s="1">
        <f t="shared" si="2"/>
        <v>3103.8160715099002</v>
      </c>
      <c r="D22" s="1">
        <f t="shared" si="3"/>
        <v>13858.884663092304</v>
      </c>
      <c r="E22" s="1">
        <f t="shared" si="4"/>
        <v>2372704.9833157421</v>
      </c>
    </row>
    <row r="23" spans="1:5">
      <c r="A23">
        <f t="shared" si="0"/>
        <v>10</v>
      </c>
      <c r="B23" s="1">
        <f t="shared" si="1"/>
        <v>16962.700734602204</v>
      </c>
      <c r="C23" s="1">
        <f t="shared" si="2"/>
        <v>3121.9216652603736</v>
      </c>
      <c r="D23" s="1">
        <f t="shared" si="3"/>
        <v>13840.77906934183</v>
      </c>
      <c r="E23" s="1">
        <f t="shared" si="4"/>
        <v>2369583.0616504815</v>
      </c>
    </row>
    <row r="24" spans="1:5">
      <c r="A24">
        <f t="shared" si="0"/>
        <v>11</v>
      </c>
      <c r="B24" s="1">
        <f t="shared" si="1"/>
        <v>16962.700734602204</v>
      </c>
      <c r="C24" s="1">
        <f t="shared" si="2"/>
        <v>3140.1328749743934</v>
      </c>
      <c r="D24" s="1">
        <f t="shared" si="3"/>
        <v>13822.56785962781</v>
      </c>
      <c r="E24" s="1">
        <f t="shared" si="4"/>
        <v>2366442.928775507</v>
      </c>
    </row>
    <row r="25" spans="1:5">
      <c r="A25">
        <f t="shared" si="0"/>
        <v>12</v>
      </c>
      <c r="B25" s="1">
        <f t="shared" si="1"/>
        <v>16962.700734602204</v>
      </c>
      <c r="C25" s="1">
        <f t="shared" si="2"/>
        <v>3158.4503167450785</v>
      </c>
      <c r="D25" s="1">
        <f t="shared" si="3"/>
        <v>13804.250417857125</v>
      </c>
      <c r="E25" s="1">
        <f t="shared" si="4"/>
        <v>2363284.4784587622</v>
      </c>
    </row>
    <row r="26" spans="1:5">
      <c r="A26">
        <f t="shared" si="0"/>
        <v>13</v>
      </c>
      <c r="B26" s="1">
        <f t="shared" si="1"/>
        <v>16962.700734602204</v>
      </c>
      <c r="C26" s="1">
        <f t="shared" si="2"/>
        <v>3176.8746102594232</v>
      </c>
      <c r="D26" s="1">
        <f t="shared" si="3"/>
        <v>13785.826124342781</v>
      </c>
      <c r="E26" s="1">
        <f t="shared" si="4"/>
        <v>2360107.603848503</v>
      </c>
    </row>
    <row r="27" spans="1:5">
      <c r="A27">
        <f t="shared" si="0"/>
        <v>14</v>
      </c>
      <c r="B27" s="1">
        <f t="shared" si="1"/>
        <v>16962.700734602204</v>
      </c>
      <c r="C27" s="1">
        <f t="shared" si="2"/>
        <v>3195.4063788192689</v>
      </c>
      <c r="D27" s="1">
        <f t="shared" si="3"/>
        <v>13767.294355782935</v>
      </c>
      <c r="E27" s="1">
        <f t="shared" si="4"/>
        <v>2356912.1974696838</v>
      </c>
    </row>
    <row r="28" spans="1:5">
      <c r="A28">
        <f t="shared" si="0"/>
        <v>15</v>
      </c>
      <c r="B28" s="1">
        <f t="shared" si="1"/>
        <v>16962.700734602204</v>
      </c>
      <c r="C28" s="1">
        <f t="shared" si="2"/>
        <v>3214.04624936238</v>
      </c>
      <c r="D28" s="1">
        <f t="shared" si="3"/>
        <v>13748.654485239824</v>
      </c>
      <c r="E28" s="1">
        <f t="shared" si="4"/>
        <v>2353698.1512203217</v>
      </c>
    </row>
    <row r="29" spans="1:5">
      <c r="A29">
        <f t="shared" si="0"/>
        <v>16</v>
      </c>
      <c r="B29" s="1">
        <f t="shared" si="1"/>
        <v>16962.700734602204</v>
      </c>
      <c r="C29" s="1">
        <f t="shared" si="2"/>
        <v>3232.7948524836593</v>
      </c>
      <c r="D29" s="1">
        <f t="shared" si="3"/>
        <v>13729.905882118544</v>
      </c>
      <c r="E29" s="1">
        <f t="shared" si="4"/>
        <v>2350465.3563678381</v>
      </c>
    </row>
    <row r="30" spans="1:5">
      <c r="A30">
        <f t="shared" si="0"/>
        <v>17</v>
      </c>
      <c r="B30" s="1">
        <f t="shared" si="1"/>
        <v>16962.700734602204</v>
      </c>
      <c r="C30" s="1">
        <f t="shared" si="2"/>
        <v>3251.6528224564809</v>
      </c>
      <c r="D30" s="1">
        <f t="shared" si="3"/>
        <v>13711.047912145723</v>
      </c>
      <c r="E30" s="1">
        <f t="shared" si="4"/>
        <v>2347213.7035453818</v>
      </c>
    </row>
    <row r="31" spans="1:5">
      <c r="A31">
        <f t="shared" si="0"/>
        <v>18</v>
      </c>
      <c r="B31" s="1">
        <f t="shared" si="1"/>
        <v>16962.700734602204</v>
      </c>
      <c r="C31" s="1">
        <f t="shared" si="2"/>
        <v>3270.6207972541433</v>
      </c>
      <c r="D31" s="1">
        <f t="shared" si="3"/>
        <v>13692.07993734806</v>
      </c>
      <c r="E31" s="1">
        <f t="shared" si="4"/>
        <v>2343943.0827481276</v>
      </c>
    </row>
    <row r="32" spans="1:5">
      <c r="A32">
        <f t="shared" si="0"/>
        <v>19</v>
      </c>
      <c r="B32" s="1">
        <f t="shared" si="1"/>
        <v>16962.700734602204</v>
      </c>
      <c r="C32" s="1">
        <f t="shared" si="2"/>
        <v>3289.6994185714593</v>
      </c>
      <c r="D32" s="1">
        <f t="shared" si="3"/>
        <v>13673.001316030744</v>
      </c>
      <c r="E32" s="1">
        <f t="shared" si="4"/>
        <v>2340653.3833295563</v>
      </c>
    </row>
    <row r="33" spans="1:5">
      <c r="A33">
        <f t="shared" si="0"/>
        <v>20</v>
      </c>
      <c r="B33" s="1">
        <f t="shared" si="1"/>
        <v>16962.700734602204</v>
      </c>
      <c r="C33" s="1">
        <f t="shared" si="2"/>
        <v>3308.8893318464579</v>
      </c>
      <c r="D33" s="1">
        <f t="shared" si="3"/>
        <v>13653.811402755746</v>
      </c>
      <c r="E33" s="1">
        <f t="shared" si="4"/>
        <v>2337344.4939977098</v>
      </c>
    </row>
    <row r="34" spans="1:5">
      <c r="A34">
        <f t="shared" si="0"/>
        <v>21</v>
      </c>
      <c r="B34" s="1">
        <f t="shared" si="1"/>
        <v>16962.700734602204</v>
      </c>
      <c r="C34" s="1">
        <f t="shared" si="2"/>
        <v>3328.191186282229</v>
      </c>
      <c r="D34" s="1">
        <f t="shared" si="3"/>
        <v>13634.509548319975</v>
      </c>
      <c r="E34" s="1">
        <f t="shared" si="4"/>
        <v>2334016.3028114275</v>
      </c>
    </row>
    <row r="35" spans="1:5">
      <c r="A35">
        <f t="shared" si="0"/>
        <v>22</v>
      </c>
      <c r="B35" s="1">
        <f t="shared" si="1"/>
        <v>16962.700734602204</v>
      </c>
      <c r="C35" s="1">
        <f t="shared" si="2"/>
        <v>3347.6056348688762</v>
      </c>
      <c r="D35" s="1">
        <f t="shared" si="3"/>
        <v>13615.095099733328</v>
      </c>
      <c r="E35" s="1">
        <f t="shared" si="4"/>
        <v>2330668.6971765584</v>
      </c>
    </row>
    <row r="36" spans="1:5">
      <c r="A36">
        <f t="shared" si="0"/>
        <v>23</v>
      </c>
      <c r="B36" s="1">
        <f t="shared" si="1"/>
        <v>16962.700734602204</v>
      </c>
      <c r="C36" s="1">
        <f t="shared" si="2"/>
        <v>3367.1333344056129</v>
      </c>
      <c r="D36" s="1">
        <f t="shared" si="3"/>
        <v>13595.567400196591</v>
      </c>
      <c r="E36" s="1">
        <f t="shared" si="4"/>
        <v>2327301.5638421527</v>
      </c>
    </row>
    <row r="37" spans="1:5">
      <c r="A37">
        <f t="shared" si="0"/>
        <v>24</v>
      </c>
      <c r="B37" s="1">
        <f t="shared" si="1"/>
        <v>16962.700734602204</v>
      </c>
      <c r="C37" s="1">
        <f t="shared" si="2"/>
        <v>3386.7749455229787</v>
      </c>
      <c r="D37" s="1">
        <f t="shared" si="3"/>
        <v>13575.925789079225</v>
      </c>
      <c r="E37" s="1">
        <f t="shared" si="4"/>
        <v>2323914.7888966296</v>
      </c>
    </row>
    <row r="38" spans="1:5">
      <c r="A38">
        <f t="shared" si="0"/>
        <v>25</v>
      </c>
      <c r="B38" s="1">
        <f t="shared" si="1"/>
        <v>16962.700734602204</v>
      </c>
      <c r="C38" s="1">
        <f t="shared" si="2"/>
        <v>3406.5311327051968</v>
      </c>
      <c r="D38" s="1">
        <f t="shared" si="3"/>
        <v>13556.169601897007</v>
      </c>
      <c r="E38" s="1">
        <f t="shared" si="4"/>
        <v>2320508.2577639245</v>
      </c>
    </row>
    <row r="39" spans="1:5">
      <c r="A39">
        <f t="shared" si="0"/>
        <v>26</v>
      </c>
      <c r="B39" s="1">
        <f t="shared" si="1"/>
        <v>16962.700734602204</v>
      </c>
      <c r="C39" s="1">
        <f t="shared" si="2"/>
        <v>3426.4025643126424</v>
      </c>
      <c r="D39" s="1">
        <f t="shared" si="3"/>
        <v>13536.298170289561</v>
      </c>
      <c r="E39" s="1">
        <f t="shared" si="4"/>
        <v>2317081.8551996117</v>
      </c>
    </row>
    <row r="40" spans="1:5">
      <c r="A40">
        <f t="shared" si="0"/>
        <v>27</v>
      </c>
      <c r="B40" s="1">
        <f t="shared" si="1"/>
        <v>16962.700734602204</v>
      </c>
      <c r="C40" s="1">
        <f t="shared" si="2"/>
        <v>3446.3899126044671</v>
      </c>
      <c r="D40" s="1">
        <f t="shared" si="3"/>
        <v>13516.310821997737</v>
      </c>
      <c r="E40" s="1">
        <f t="shared" si="4"/>
        <v>2313635.4652870074</v>
      </c>
    </row>
    <row r="41" spans="1:5">
      <c r="A41">
        <f t="shared" si="0"/>
        <v>28</v>
      </c>
      <c r="B41" s="1">
        <f t="shared" si="1"/>
        <v>16962.700734602204</v>
      </c>
      <c r="C41" s="1">
        <f t="shared" si="2"/>
        <v>3466.493853761327</v>
      </c>
      <c r="D41" s="1">
        <f t="shared" si="3"/>
        <v>13496.206880840877</v>
      </c>
      <c r="E41" s="1">
        <f t="shared" si="4"/>
        <v>2310168.971433246</v>
      </c>
    </row>
    <row r="42" spans="1:5">
      <c r="A42">
        <f t="shared" si="0"/>
        <v>29</v>
      </c>
      <c r="B42" s="1">
        <f t="shared" si="1"/>
        <v>16962.700734602204</v>
      </c>
      <c r="C42" s="1">
        <f t="shared" si="2"/>
        <v>3486.7150679082679</v>
      </c>
      <c r="D42" s="1">
        <f t="shared" si="3"/>
        <v>13475.985666693936</v>
      </c>
      <c r="E42" s="1">
        <f t="shared" si="4"/>
        <v>2306682.2563653379</v>
      </c>
    </row>
    <row r="43" spans="1:5">
      <c r="A43">
        <f t="shared" si="0"/>
        <v>30</v>
      </c>
      <c r="B43" s="1">
        <f t="shared" si="1"/>
        <v>16962.700734602204</v>
      </c>
      <c r="C43" s="1">
        <f t="shared" si="2"/>
        <v>3507.054239137733</v>
      </c>
      <c r="D43" s="1">
        <f t="shared" si="3"/>
        <v>13455.646495464471</v>
      </c>
      <c r="E43" s="1">
        <f t="shared" si="4"/>
        <v>2303175.2021262003</v>
      </c>
    </row>
    <row r="44" spans="1:5">
      <c r="A44">
        <f t="shared" si="0"/>
        <v>31</v>
      </c>
      <c r="B44" s="1">
        <f t="shared" si="1"/>
        <v>16962.700734602204</v>
      </c>
      <c r="C44" s="1">
        <f t="shared" si="2"/>
        <v>3527.5120555327012</v>
      </c>
      <c r="D44" s="1">
        <f t="shared" si="3"/>
        <v>13435.188679069503</v>
      </c>
      <c r="E44" s="1">
        <f t="shared" si="4"/>
        <v>2299647.6900706678</v>
      </c>
    </row>
    <row r="45" spans="1:5">
      <c r="A45">
        <f t="shared" si="0"/>
        <v>32</v>
      </c>
      <c r="B45" s="1">
        <f t="shared" si="1"/>
        <v>16962.700734602204</v>
      </c>
      <c r="C45" s="1">
        <f t="shared" si="2"/>
        <v>3548.089209189975</v>
      </c>
      <c r="D45" s="1">
        <f t="shared" si="3"/>
        <v>13414.611525412229</v>
      </c>
      <c r="E45" s="1">
        <f t="shared" si="4"/>
        <v>2296099.6008614777</v>
      </c>
    </row>
    <row r="46" spans="1:5">
      <c r="A46">
        <f t="shared" si="0"/>
        <v>33</v>
      </c>
      <c r="B46" s="1">
        <f t="shared" si="1"/>
        <v>16962.700734602204</v>
      </c>
      <c r="C46" s="1">
        <f t="shared" si="2"/>
        <v>3568.786396243584</v>
      </c>
      <c r="D46" s="1">
        <f t="shared" si="3"/>
        <v>13393.91433835862</v>
      </c>
      <c r="E46" s="1">
        <f t="shared" si="4"/>
        <v>2292530.8144652341</v>
      </c>
    </row>
    <row r="47" spans="1:5">
      <c r="A47">
        <f t="shared" si="0"/>
        <v>34</v>
      </c>
      <c r="B47" s="1">
        <f t="shared" si="1"/>
        <v>16962.700734602204</v>
      </c>
      <c r="C47" s="1">
        <f t="shared" si="2"/>
        <v>3589.6043168883371</v>
      </c>
      <c r="D47" s="1">
        <f t="shared" si="3"/>
        <v>13373.096417713867</v>
      </c>
      <c r="E47" s="1">
        <f t="shared" si="4"/>
        <v>2288941.2101483457</v>
      </c>
    </row>
    <row r="48" spans="1:5">
      <c r="A48">
        <f t="shared" si="0"/>
        <v>35</v>
      </c>
      <c r="B48" s="1">
        <f t="shared" si="1"/>
        <v>16962.700734602204</v>
      </c>
      <c r="C48" s="1">
        <f t="shared" si="2"/>
        <v>3610.54367540352</v>
      </c>
      <c r="D48" s="1">
        <f t="shared" si="3"/>
        <v>13352.157059198684</v>
      </c>
      <c r="E48" s="1">
        <f t="shared" si="4"/>
        <v>2285330.6664729421</v>
      </c>
    </row>
    <row r="49" spans="1:5">
      <c r="A49">
        <f t="shared" si="0"/>
        <v>36</v>
      </c>
      <c r="B49" s="1">
        <f t="shared" si="1"/>
        <v>16962.700734602204</v>
      </c>
      <c r="C49" s="1">
        <f t="shared" si="2"/>
        <v>3631.605180176708</v>
      </c>
      <c r="D49" s="1">
        <f t="shared" si="3"/>
        <v>13331.095554425496</v>
      </c>
      <c r="E49" s="1">
        <f t="shared" si="4"/>
        <v>2281699.0612927652</v>
      </c>
    </row>
    <row r="50" spans="1:5">
      <c r="A50">
        <f t="shared" si="0"/>
        <v>37</v>
      </c>
      <c r="B50" s="1">
        <f t="shared" si="1"/>
        <v>16962.700734602204</v>
      </c>
      <c r="C50" s="1">
        <f t="shared" si="2"/>
        <v>3652.7895437277402</v>
      </c>
      <c r="D50" s="1">
        <f t="shared" si="3"/>
        <v>13309.911190874464</v>
      </c>
      <c r="E50" s="1">
        <f t="shared" si="4"/>
        <v>2278046.2717490373</v>
      </c>
    </row>
    <row r="51" spans="1:5">
      <c r="A51">
        <f t="shared" si="0"/>
        <v>38</v>
      </c>
      <c r="B51" s="1">
        <f t="shared" si="1"/>
        <v>16962.700734602204</v>
      </c>
      <c r="C51" s="1">
        <f t="shared" si="2"/>
        <v>3674.0974827328191</v>
      </c>
      <c r="D51" s="1">
        <f t="shared" si="3"/>
        <v>13288.603251869385</v>
      </c>
      <c r="E51" s="1">
        <f t="shared" si="4"/>
        <v>2274372.1742663044</v>
      </c>
    </row>
    <row r="52" spans="1:5">
      <c r="A52">
        <f t="shared" si="0"/>
        <v>39</v>
      </c>
      <c r="B52" s="1">
        <f t="shared" si="1"/>
        <v>16962.700734602204</v>
      </c>
      <c r="C52" s="1">
        <f t="shared" si="2"/>
        <v>3695.5297180487614</v>
      </c>
      <c r="D52" s="1">
        <f t="shared" si="3"/>
        <v>13267.171016553442</v>
      </c>
      <c r="E52" s="1">
        <f t="shared" si="4"/>
        <v>2270676.6445482555</v>
      </c>
    </row>
    <row r="53" spans="1:5">
      <c r="A53">
        <f t="shared" si="0"/>
        <v>40</v>
      </c>
      <c r="B53" s="1">
        <f t="shared" si="1"/>
        <v>16962.700734602204</v>
      </c>
      <c r="C53" s="1">
        <f t="shared" si="2"/>
        <v>3717.0869747373799</v>
      </c>
      <c r="D53" s="1">
        <f t="shared" si="3"/>
        <v>13245.613759864824</v>
      </c>
      <c r="E53" s="1">
        <f t="shared" si="4"/>
        <v>2266959.5575735183</v>
      </c>
    </row>
    <row r="54" spans="1:5">
      <c r="A54">
        <f t="shared" si="0"/>
        <v>41</v>
      </c>
      <c r="B54" s="1">
        <f t="shared" si="1"/>
        <v>16962.700734602204</v>
      </c>
      <c r="C54" s="1">
        <f t="shared" si="2"/>
        <v>3738.7699820900125</v>
      </c>
      <c r="D54" s="1">
        <f t="shared" si="3"/>
        <v>13223.930752512191</v>
      </c>
      <c r="E54" s="1">
        <f t="shared" si="4"/>
        <v>2263220.787591428</v>
      </c>
    </row>
    <row r="55" spans="1:5">
      <c r="A55">
        <f t="shared" si="0"/>
        <v>42</v>
      </c>
      <c r="B55" s="1">
        <f t="shared" si="1"/>
        <v>16962.700734602204</v>
      </c>
      <c r="C55" s="1">
        <f t="shared" si="2"/>
        <v>3760.5794736522057</v>
      </c>
      <c r="D55" s="1">
        <f t="shared" si="3"/>
        <v>13202.121260949998</v>
      </c>
      <c r="E55" s="1">
        <f t="shared" si="4"/>
        <v>2259460.2081177756</v>
      </c>
    </row>
    <row r="56" spans="1:5">
      <c r="A56">
        <f t="shared" si="0"/>
        <v>43</v>
      </c>
      <c r="B56" s="1">
        <f t="shared" si="1"/>
        <v>16962.700734602204</v>
      </c>
      <c r="C56" s="1">
        <f t="shared" si="2"/>
        <v>3782.5161872485114</v>
      </c>
      <c r="D56" s="1">
        <f t="shared" si="3"/>
        <v>13180.184547353692</v>
      </c>
      <c r="E56" s="1">
        <f t="shared" si="4"/>
        <v>2255677.6919305273</v>
      </c>
    </row>
    <row r="57" spans="1:5">
      <c r="A57">
        <f t="shared" si="0"/>
        <v>44</v>
      </c>
      <c r="B57" s="1">
        <f t="shared" si="1"/>
        <v>16962.700734602204</v>
      </c>
      <c r="C57" s="1">
        <f t="shared" si="2"/>
        <v>3804.5808650074596</v>
      </c>
      <c r="D57" s="1">
        <f t="shared" si="3"/>
        <v>13158.119869594744</v>
      </c>
      <c r="E57" s="1">
        <f t="shared" si="4"/>
        <v>2251873.11106552</v>
      </c>
    </row>
    <row r="58" spans="1:5">
      <c r="A58">
        <f t="shared" si="0"/>
        <v>45</v>
      </c>
      <c r="B58" s="1">
        <f t="shared" si="1"/>
        <v>16962.700734602204</v>
      </c>
      <c r="C58" s="1">
        <f t="shared" si="2"/>
        <v>3826.7742533866694</v>
      </c>
      <c r="D58" s="1">
        <f t="shared" si="3"/>
        <v>13135.926481215534</v>
      </c>
      <c r="E58" s="1">
        <f t="shared" si="4"/>
        <v>2248046.3368121334</v>
      </c>
    </row>
    <row r="59" spans="1:5">
      <c r="A59">
        <f t="shared" si="0"/>
        <v>46</v>
      </c>
      <c r="B59" s="1">
        <f t="shared" si="1"/>
        <v>16962.700734602204</v>
      </c>
      <c r="C59" s="1">
        <f t="shared" si="2"/>
        <v>3849.0971031980916</v>
      </c>
      <c r="D59" s="1">
        <f t="shared" si="3"/>
        <v>13113.603631404112</v>
      </c>
      <c r="E59" s="1">
        <f t="shared" si="4"/>
        <v>2244197.2397089354</v>
      </c>
    </row>
    <row r="60" spans="1:5">
      <c r="A60">
        <f t="shared" si="0"/>
        <v>47</v>
      </c>
      <c r="B60" s="1">
        <f t="shared" si="1"/>
        <v>16962.700734602204</v>
      </c>
      <c r="C60" s="1">
        <f t="shared" si="2"/>
        <v>3871.550169633414</v>
      </c>
      <c r="D60" s="1">
        <f t="shared" si="3"/>
        <v>13091.15056496879</v>
      </c>
      <c r="E60" s="1">
        <f t="shared" si="4"/>
        <v>2240325.6895393021</v>
      </c>
    </row>
    <row r="61" spans="1:5">
      <c r="A61">
        <f t="shared" si="0"/>
        <v>48</v>
      </c>
      <c r="B61" s="1">
        <f t="shared" si="1"/>
        <v>16962.700734602204</v>
      </c>
      <c r="C61" s="1">
        <f t="shared" si="2"/>
        <v>3894.1342122896076</v>
      </c>
      <c r="D61" s="1">
        <f t="shared" si="3"/>
        <v>13068.566522312596</v>
      </c>
      <c r="E61" s="1">
        <f t="shared" si="4"/>
        <v>2236431.5553270127</v>
      </c>
    </row>
    <row r="62" spans="1:5">
      <c r="A62">
        <f t="shared" si="0"/>
        <v>49</v>
      </c>
      <c r="B62" s="1">
        <f t="shared" si="1"/>
        <v>16962.700734602204</v>
      </c>
      <c r="C62" s="1">
        <f t="shared" si="2"/>
        <v>3916.8499951946287</v>
      </c>
      <c r="D62" s="1">
        <f t="shared" si="3"/>
        <v>13045.850739407575</v>
      </c>
      <c r="E62" s="1">
        <f t="shared" si="4"/>
        <v>2232514.7053318182</v>
      </c>
    </row>
    <row r="63" spans="1:5">
      <c r="A63">
        <f t="shared" si="0"/>
        <v>50</v>
      </c>
      <c r="B63" s="1">
        <f t="shared" si="1"/>
        <v>16962.700734602204</v>
      </c>
      <c r="C63" s="1">
        <f t="shared" si="2"/>
        <v>3939.6982868332634</v>
      </c>
      <c r="D63" s="1">
        <f t="shared" si="3"/>
        <v>13023.00244776894</v>
      </c>
      <c r="E63" s="1">
        <f t="shared" si="4"/>
        <v>2228575.007044985</v>
      </c>
    </row>
    <row r="64" spans="1:5">
      <c r="A64">
        <f t="shared" si="0"/>
        <v>51</v>
      </c>
      <c r="B64" s="1">
        <f t="shared" si="1"/>
        <v>16962.700734602204</v>
      </c>
      <c r="C64" s="1">
        <f t="shared" si="2"/>
        <v>3962.6798601731243</v>
      </c>
      <c r="D64" s="1">
        <f t="shared" si="3"/>
        <v>13000.020874429079</v>
      </c>
      <c r="E64" s="1">
        <f t="shared" si="4"/>
        <v>2224612.3271848117</v>
      </c>
    </row>
    <row r="65" spans="1:5">
      <c r="A65">
        <f t="shared" si="0"/>
        <v>52</v>
      </c>
      <c r="B65" s="1">
        <f t="shared" si="1"/>
        <v>16962.700734602204</v>
      </c>
      <c r="C65" s="1">
        <f t="shared" si="2"/>
        <v>3985.7954926908023</v>
      </c>
      <c r="D65" s="1">
        <f t="shared" si="3"/>
        <v>12976.905241911401</v>
      </c>
      <c r="E65" s="1">
        <f t="shared" si="4"/>
        <v>2220626.5316921207</v>
      </c>
    </row>
    <row r="66" spans="1:5">
      <c r="A66">
        <f t="shared" si="0"/>
        <v>53</v>
      </c>
      <c r="B66" s="1">
        <f t="shared" si="1"/>
        <v>16962.700734602204</v>
      </c>
      <c r="C66" s="1">
        <f t="shared" si="2"/>
        <v>4009.0459663981655</v>
      </c>
      <c r="D66" s="1">
        <f t="shared" si="3"/>
        <v>12953.654768204038</v>
      </c>
      <c r="E66" s="1">
        <f t="shared" si="4"/>
        <v>2216617.4857257227</v>
      </c>
    </row>
    <row r="67" spans="1:5">
      <c r="A67">
        <f t="shared" si="0"/>
        <v>54</v>
      </c>
      <c r="B67" s="1">
        <f t="shared" si="1"/>
        <v>16962.700734602204</v>
      </c>
      <c r="C67" s="1">
        <f t="shared" si="2"/>
        <v>4032.43206786882</v>
      </c>
      <c r="D67" s="1">
        <f t="shared" si="3"/>
        <v>12930.268666733384</v>
      </c>
      <c r="E67" s="1">
        <f t="shared" si="4"/>
        <v>2212585.053657854</v>
      </c>
    </row>
    <row r="68" spans="1:5">
      <c r="A68">
        <f t="shared" si="0"/>
        <v>55</v>
      </c>
      <c r="B68" s="1">
        <f t="shared" si="1"/>
        <v>16962.700734602204</v>
      </c>
      <c r="C68" s="1">
        <f t="shared" si="2"/>
        <v>4055.9545882647217</v>
      </c>
      <c r="D68" s="1">
        <f t="shared" si="3"/>
        <v>12906.746146337482</v>
      </c>
      <c r="E68" s="1">
        <f t="shared" si="4"/>
        <v>2208529.0990695893</v>
      </c>
    </row>
    <row r="69" spans="1:5">
      <c r="A69">
        <f t="shared" si="0"/>
        <v>56</v>
      </c>
      <c r="B69" s="1">
        <f t="shared" si="1"/>
        <v>16962.700734602204</v>
      </c>
      <c r="C69" s="1">
        <f t="shared" si="2"/>
        <v>4079.6143233629318</v>
      </c>
      <c r="D69" s="1">
        <f t="shared" si="3"/>
        <v>12883.086411239272</v>
      </c>
      <c r="E69" s="1">
        <f t="shared" si="4"/>
        <v>2204449.4847462266</v>
      </c>
    </row>
    <row r="70" spans="1:5">
      <c r="A70">
        <f t="shared" si="0"/>
        <v>57</v>
      </c>
      <c r="B70" s="1">
        <f t="shared" si="1"/>
        <v>16962.700734602204</v>
      </c>
      <c r="C70" s="1">
        <f t="shared" si="2"/>
        <v>4103.4120735825472</v>
      </c>
      <c r="D70" s="1">
        <f t="shared" si="3"/>
        <v>12859.288661019657</v>
      </c>
      <c r="E70" s="1">
        <f t="shared" si="4"/>
        <v>2200346.0726726442</v>
      </c>
    </row>
    <row r="71" spans="1:5">
      <c r="A71">
        <f t="shared" si="0"/>
        <v>58</v>
      </c>
      <c r="B71" s="1">
        <f t="shared" si="1"/>
        <v>16962.700734602204</v>
      </c>
      <c r="C71" s="1">
        <f t="shared" si="2"/>
        <v>4127.3486440117795</v>
      </c>
      <c r="D71" s="1">
        <f t="shared" si="3"/>
        <v>12835.352090590424</v>
      </c>
      <c r="E71" s="1">
        <f t="shared" si="4"/>
        <v>2196218.7240286325</v>
      </c>
    </row>
    <row r="72" spans="1:5">
      <c r="A72">
        <f t="shared" si="0"/>
        <v>59</v>
      </c>
      <c r="B72" s="1">
        <f t="shared" si="1"/>
        <v>16962.700734602204</v>
      </c>
      <c r="C72" s="1">
        <f t="shared" si="2"/>
        <v>4151.4248444351797</v>
      </c>
      <c r="D72" s="1">
        <f t="shared" si="3"/>
        <v>12811.275890167024</v>
      </c>
      <c r="E72" s="1">
        <f t="shared" si="4"/>
        <v>2192067.2991841976</v>
      </c>
    </row>
    <row r="73" spans="1:5">
      <c r="A73">
        <f t="shared" si="0"/>
        <v>60</v>
      </c>
      <c r="B73" s="1">
        <f t="shared" si="1"/>
        <v>16962.700734602204</v>
      </c>
      <c r="C73" s="1">
        <f t="shared" si="2"/>
        <v>4175.6414893610508</v>
      </c>
      <c r="D73" s="1">
        <f t="shared" si="3"/>
        <v>12787.059245241153</v>
      </c>
      <c r="E73" s="1">
        <f t="shared" si="4"/>
        <v>2187891.6576948366</v>
      </c>
    </row>
    <row r="74" spans="1:5">
      <c r="A74">
        <f t="shared" si="0"/>
        <v>61</v>
      </c>
      <c r="B74" s="1">
        <f t="shared" si="1"/>
        <v>16962.700734602204</v>
      </c>
      <c r="C74" s="1">
        <f t="shared" si="2"/>
        <v>4199.999398048989</v>
      </c>
      <c r="D74" s="1">
        <f t="shared" si="3"/>
        <v>12762.701336553215</v>
      </c>
      <c r="E74" s="1">
        <f t="shared" si="4"/>
        <v>2183691.6582967876</v>
      </c>
    </row>
    <row r="75" spans="1:5">
      <c r="A75">
        <f t="shared" si="0"/>
        <v>62</v>
      </c>
      <c r="B75" s="1">
        <f t="shared" si="1"/>
        <v>16962.700734602204</v>
      </c>
      <c r="C75" s="1">
        <f t="shared" si="2"/>
        <v>4224.4993945376082</v>
      </c>
      <c r="D75" s="1">
        <f t="shared" si="3"/>
        <v>12738.201340064596</v>
      </c>
      <c r="E75" s="1">
        <f t="shared" si="4"/>
        <v>2179467.1589022502</v>
      </c>
    </row>
    <row r="76" spans="1:5">
      <c r="A76">
        <f t="shared" si="0"/>
        <v>63</v>
      </c>
      <c r="B76" s="1">
        <f t="shared" si="1"/>
        <v>16962.700734602204</v>
      </c>
      <c r="C76" s="1">
        <f t="shared" si="2"/>
        <v>4249.1423076724095</v>
      </c>
      <c r="D76" s="1">
        <f t="shared" si="3"/>
        <v>12713.558426929794</v>
      </c>
      <c r="E76" s="1">
        <f t="shared" si="4"/>
        <v>2175218.016594578</v>
      </c>
    </row>
    <row r="77" spans="1:5">
      <c r="A77">
        <f t="shared" si="0"/>
        <v>64</v>
      </c>
      <c r="B77" s="1">
        <f t="shared" si="1"/>
        <v>16962.700734602204</v>
      </c>
      <c r="C77" s="1">
        <f t="shared" si="2"/>
        <v>4273.9289711338315</v>
      </c>
      <c r="D77" s="1">
        <f t="shared" si="3"/>
        <v>12688.771763468372</v>
      </c>
      <c r="E77" s="1">
        <f t="shared" si="4"/>
        <v>2170944.0876234444</v>
      </c>
    </row>
    <row r="78" spans="1:5">
      <c r="A78">
        <f t="shared" si="0"/>
        <v>65</v>
      </c>
      <c r="B78" s="1">
        <f t="shared" si="1"/>
        <v>16962.700734602204</v>
      </c>
      <c r="C78" s="1">
        <f t="shared" si="2"/>
        <v>4298.8602234654445</v>
      </c>
      <c r="D78" s="1">
        <f t="shared" si="3"/>
        <v>12663.840511136759</v>
      </c>
      <c r="E78" s="1">
        <f t="shared" si="4"/>
        <v>2166645.2273999788</v>
      </c>
    </row>
    <row r="79" spans="1:5">
      <c r="A79">
        <f t="shared" si="0"/>
        <v>66</v>
      </c>
      <c r="B79" s="1">
        <f t="shared" si="1"/>
        <v>16962.700734602204</v>
      </c>
      <c r="C79" s="1">
        <f t="shared" si="2"/>
        <v>4323.9369081023269</v>
      </c>
      <c r="D79" s="1">
        <f t="shared" si="3"/>
        <v>12638.763826499877</v>
      </c>
      <c r="E79" s="1">
        <f t="shared" si="4"/>
        <v>2162321.2904918767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16962.700734602204</v>
      </c>
      <c r="C80" s="1">
        <f t="shared" ref="C80:C143" si="7">IF(A80="","",B80-D80)</f>
        <v>4349.1598733995888</v>
      </c>
      <c r="D80" s="1">
        <f t="shared" ref="D80:D143" si="8">IF(A80="","",(E79*($B$6/$B$8)))</f>
        <v>12613.540861202615</v>
      </c>
      <c r="E80" s="1">
        <f t="shared" ref="E80:E143" si="9">IF(A80="","",E79-C80)</f>
        <v>2157972.1306184772</v>
      </c>
    </row>
    <row r="81" spans="1:5">
      <c r="A81">
        <f t="shared" si="5"/>
        <v>68</v>
      </c>
      <c r="B81" s="1">
        <f t="shared" si="6"/>
        <v>16962.700734602204</v>
      </c>
      <c r="C81" s="1">
        <f t="shared" si="7"/>
        <v>4374.5299726610865</v>
      </c>
      <c r="D81" s="1">
        <f t="shared" si="8"/>
        <v>12588.170761941117</v>
      </c>
      <c r="E81" s="1">
        <f t="shared" si="9"/>
        <v>2153597.600645816</v>
      </c>
    </row>
    <row r="82" spans="1:5">
      <c r="A82">
        <f t="shared" si="5"/>
        <v>69</v>
      </c>
      <c r="B82" s="1">
        <f t="shared" si="6"/>
        <v>16962.700734602204</v>
      </c>
      <c r="C82" s="1">
        <f t="shared" si="7"/>
        <v>4400.0480641682771</v>
      </c>
      <c r="D82" s="1">
        <f t="shared" si="8"/>
        <v>12562.652670433927</v>
      </c>
      <c r="E82" s="1">
        <f t="shared" si="9"/>
        <v>2149197.5525816479</v>
      </c>
    </row>
    <row r="83" spans="1:5">
      <c r="A83">
        <f t="shared" si="5"/>
        <v>70</v>
      </c>
      <c r="B83" s="1">
        <f t="shared" si="6"/>
        <v>16962.700734602204</v>
      </c>
      <c r="C83" s="1">
        <f t="shared" si="7"/>
        <v>4425.7150112092568</v>
      </c>
      <c r="D83" s="1">
        <f t="shared" si="8"/>
        <v>12536.985723392947</v>
      </c>
      <c r="E83" s="1">
        <f t="shared" si="9"/>
        <v>2144771.8375704386</v>
      </c>
    </row>
    <row r="84" spans="1:5">
      <c r="A84">
        <f t="shared" si="5"/>
        <v>71</v>
      </c>
      <c r="B84" s="1">
        <f t="shared" si="6"/>
        <v>16962.700734602204</v>
      </c>
      <c r="C84" s="1">
        <f t="shared" si="7"/>
        <v>4451.5316821079778</v>
      </c>
      <c r="D84" s="1">
        <f t="shared" si="8"/>
        <v>12511.169052494226</v>
      </c>
      <c r="E84" s="1">
        <f t="shared" si="9"/>
        <v>2140320.3058883306</v>
      </c>
    </row>
    <row r="85" spans="1:5">
      <c r="A85">
        <f t="shared" si="5"/>
        <v>72</v>
      </c>
      <c r="B85" s="1">
        <f t="shared" si="6"/>
        <v>16962.700734602204</v>
      </c>
      <c r="C85" s="1">
        <f t="shared" si="7"/>
        <v>4477.4989502536082</v>
      </c>
      <c r="D85" s="1">
        <f t="shared" si="8"/>
        <v>12485.201784348596</v>
      </c>
      <c r="E85" s="1">
        <f t="shared" si="9"/>
        <v>2135842.8069380769</v>
      </c>
    </row>
    <row r="86" spans="1:5">
      <c r="A86">
        <f t="shared" si="5"/>
        <v>73</v>
      </c>
      <c r="B86" s="1">
        <f t="shared" si="6"/>
        <v>16962.700734602204</v>
      </c>
      <c r="C86" s="1">
        <f t="shared" si="7"/>
        <v>4503.6176941300873</v>
      </c>
      <c r="D86" s="1">
        <f t="shared" si="8"/>
        <v>12459.083040472116</v>
      </c>
      <c r="E86" s="1">
        <f t="shared" si="9"/>
        <v>2131339.1892439467</v>
      </c>
    </row>
    <row r="87" spans="1:5">
      <c r="A87">
        <f t="shared" si="5"/>
        <v>74</v>
      </c>
      <c r="B87" s="1">
        <f t="shared" si="6"/>
        <v>16962.700734602204</v>
      </c>
      <c r="C87" s="1">
        <f t="shared" si="7"/>
        <v>4529.8887973458477</v>
      </c>
      <c r="D87" s="1">
        <f t="shared" si="8"/>
        <v>12432.811937256356</v>
      </c>
      <c r="E87" s="1">
        <f t="shared" si="9"/>
        <v>2126809.3004466007</v>
      </c>
    </row>
    <row r="88" spans="1:5">
      <c r="A88">
        <f t="shared" si="5"/>
        <v>75</v>
      </c>
      <c r="B88" s="1">
        <f t="shared" si="6"/>
        <v>16962.700734602204</v>
      </c>
      <c r="C88" s="1">
        <f t="shared" si="7"/>
        <v>4556.3131486636994</v>
      </c>
      <c r="D88" s="1">
        <f t="shared" si="8"/>
        <v>12406.387585938504</v>
      </c>
      <c r="E88" s="1">
        <f t="shared" si="9"/>
        <v>2122252.9872979368</v>
      </c>
    </row>
    <row r="89" spans="1:5">
      <c r="A89">
        <f t="shared" si="5"/>
        <v>76</v>
      </c>
      <c r="B89" s="1">
        <f t="shared" si="6"/>
        <v>16962.700734602204</v>
      </c>
      <c r="C89" s="1">
        <f t="shared" si="7"/>
        <v>4582.8916420309051</v>
      </c>
      <c r="D89" s="1">
        <f t="shared" si="8"/>
        <v>12379.809092571299</v>
      </c>
      <c r="E89" s="1">
        <f t="shared" si="9"/>
        <v>2117670.095655906</v>
      </c>
    </row>
    <row r="90" spans="1:5">
      <c r="A90">
        <f t="shared" si="5"/>
        <v>77</v>
      </c>
      <c r="B90" s="1">
        <f t="shared" si="6"/>
        <v>16962.700734602204</v>
      </c>
      <c r="C90" s="1">
        <f t="shared" si="7"/>
        <v>4609.6251766094174</v>
      </c>
      <c r="D90" s="1">
        <f t="shared" si="8"/>
        <v>12353.075557992786</v>
      </c>
      <c r="E90" s="1">
        <f t="shared" si="9"/>
        <v>2113060.4704792965</v>
      </c>
    </row>
    <row r="91" spans="1:5">
      <c r="A91">
        <f t="shared" si="5"/>
        <v>78</v>
      </c>
      <c r="B91" s="1">
        <f t="shared" si="6"/>
        <v>16962.700734602204</v>
      </c>
      <c r="C91" s="1">
        <f t="shared" si="7"/>
        <v>4636.5146568063064</v>
      </c>
      <c r="D91" s="1">
        <f t="shared" si="8"/>
        <v>12326.186077795897</v>
      </c>
      <c r="E91" s="1">
        <f t="shared" si="9"/>
        <v>2108423.9558224902</v>
      </c>
    </row>
    <row r="92" spans="1:5">
      <c r="A92">
        <f t="shared" si="5"/>
        <v>79</v>
      </c>
      <c r="B92" s="1">
        <f t="shared" si="6"/>
        <v>16962.700734602204</v>
      </c>
      <c r="C92" s="1">
        <f t="shared" si="7"/>
        <v>4663.5609923043448</v>
      </c>
      <c r="D92" s="1">
        <f t="shared" si="8"/>
        <v>12299.139742297859</v>
      </c>
      <c r="E92" s="1">
        <f t="shared" si="9"/>
        <v>2103760.3948301859</v>
      </c>
    </row>
    <row r="93" spans="1:5">
      <c r="A93">
        <f t="shared" si="5"/>
        <v>80</v>
      </c>
      <c r="B93" s="1">
        <f t="shared" si="6"/>
        <v>16962.700734602204</v>
      </c>
      <c r="C93" s="1">
        <f t="shared" si="7"/>
        <v>4690.7650980927847</v>
      </c>
      <c r="D93" s="1">
        <f t="shared" si="8"/>
        <v>12271.935636509419</v>
      </c>
      <c r="E93" s="1">
        <f t="shared" si="9"/>
        <v>2099069.6297320933</v>
      </c>
    </row>
    <row r="94" spans="1:5">
      <c r="A94">
        <f t="shared" si="5"/>
        <v>81</v>
      </c>
      <c r="B94" s="1">
        <f t="shared" si="6"/>
        <v>16962.700734602204</v>
      </c>
      <c r="C94" s="1">
        <f t="shared" si="7"/>
        <v>4718.127894498326</v>
      </c>
      <c r="D94" s="1">
        <f t="shared" si="8"/>
        <v>12244.572840103878</v>
      </c>
      <c r="E94" s="1">
        <f t="shared" si="9"/>
        <v>2094351.5018375949</v>
      </c>
    </row>
    <row r="95" spans="1:5">
      <c r="A95">
        <f t="shared" si="5"/>
        <v>82</v>
      </c>
      <c r="B95" s="1">
        <f t="shared" si="6"/>
        <v>16962.700734602204</v>
      </c>
      <c r="C95" s="1">
        <f t="shared" si="7"/>
        <v>4745.6503072162322</v>
      </c>
      <c r="D95" s="1">
        <f t="shared" si="8"/>
        <v>12217.050427385971</v>
      </c>
      <c r="E95" s="1">
        <f t="shared" si="9"/>
        <v>2089605.8515303787</v>
      </c>
    </row>
    <row r="96" spans="1:5">
      <c r="A96">
        <f t="shared" si="5"/>
        <v>83</v>
      </c>
      <c r="B96" s="1">
        <f t="shared" si="6"/>
        <v>16962.700734602204</v>
      </c>
      <c r="C96" s="1">
        <f t="shared" si="7"/>
        <v>4773.3332673416608</v>
      </c>
      <c r="D96" s="1">
        <f t="shared" si="8"/>
        <v>12189.367467260543</v>
      </c>
      <c r="E96" s="1">
        <f t="shared" si="9"/>
        <v>2084832.5182630371</v>
      </c>
    </row>
    <row r="97" spans="1:5">
      <c r="A97">
        <f t="shared" si="5"/>
        <v>84</v>
      </c>
      <c r="B97" s="1">
        <f t="shared" si="6"/>
        <v>16962.700734602204</v>
      </c>
      <c r="C97" s="1">
        <f t="shared" si="7"/>
        <v>4801.1777114011529</v>
      </c>
      <c r="D97" s="1">
        <f t="shared" si="8"/>
        <v>12161.523023201051</v>
      </c>
      <c r="E97" s="1">
        <f t="shared" si="9"/>
        <v>2080031.3405516359</v>
      </c>
    </row>
    <row r="98" spans="1:5">
      <c r="A98">
        <f t="shared" si="5"/>
        <v>85</v>
      </c>
      <c r="B98" s="1">
        <f t="shared" si="6"/>
        <v>16962.700734602204</v>
      </c>
      <c r="C98" s="1">
        <f t="shared" si="7"/>
        <v>4829.1845813843265</v>
      </c>
      <c r="D98" s="1">
        <f t="shared" si="8"/>
        <v>12133.516153217877</v>
      </c>
      <c r="E98" s="1">
        <f t="shared" si="9"/>
        <v>2075202.1559702517</v>
      </c>
    </row>
    <row r="99" spans="1:5">
      <c r="A99">
        <f t="shared" si="5"/>
        <v>86</v>
      </c>
      <c r="B99" s="1">
        <f t="shared" si="6"/>
        <v>16962.700734602204</v>
      </c>
      <c r="C99" s="1">
        <f t="shared" si="7"/>
        <v>4857.3548247757353</v>
      </c>
      <c r="D99" s="1">
        <f t="shared" si="8"/>
        <v>12105.345909826468</v>
      </c>
      <c r="E99" s="1">
        <f t="shared" si="9"/>
        <v>2070344.8011454758</v>
      </c>
    </row>
    <row r="100" spans="1:5">
      <c r="A100">
        <f t="shared" si="5"/>
        <v>87</v>
      </c>
      <c r="B100" s="1">
        <f t="shared" si="6"/>
        <v>16962.700734602204</v>
      </c>
      <c r="C100" s="1">
        <f t="shared" si="7"/>
        <v>4885.6893945869269</v>
      </c>
      <c r="D100" s="1">
        <f t="shared" si="8"/>
        <v>12077.011340015277</v>
      </c>
      <c r="E100" s="1">
        <f t="shared" si="9"/>
        <v>2065459.1117508889</v>
      </c>
    </row>
    <row r="101" spans="1:5">
      <c r="A101">
        <f t="shared" si="5"/>
        <v>88</v>
      </c>
      <c r="B101" s="1">
        <f t="shared" si="6"/>
        <v>16962.700734602204</v>
      </c>
      <c r="C101" s="1">
        <f t="shared" si="7"/>
        <v>4914.1892493886844</v>
      </c>
      <c r="D101" s="1">
        <f t="shared" si="8"/>
        <v>12048.511485213519</v>
      </c>
      <c r="E101" s="1">
        <f t="shared" si="9"/>
        <v>2060544.9225015002</v>
      </c>
    </row>
    <row r="102" spans="1:5">
      <c r="A102">
        <f t="shared" si="5"/>
        <v>89</v>
      </c>
      <c r="B102" s="1">
        <f t="shared" si="6"/>
        <v>16962.700734602204</v>
      </c>
      <c r="C102" s="1">
        <f t="shared" si="7"/>
        <v>4942.8553533434515</v>
      </c>
      <c r="D102" s="1">
        <f t="shared" si="8"/>
        <v>12019.845381258752</v>
      </c>
      <c r="E102" s="1">
        <f t="shared" si="9"/>
        <v>2055602.0671481567</v>
      </c>
    </row>
    <row r="103" spans="1:5">
      <c r="A103">
        <f t="shared" si="5"/>
        <v>90</v>
      </c>
      <c r="B103" s="1">
        <f t="shared" si="6"/>
        <v>16962.700734602204</v>
      </c>
      <c r="C103" s="1">
        <f t="shared" si="7"/>
        <v>4971.6886762379563</v>
      </c>
      <c r="D103" s="1">
        <f t="shared" si="8"/>
        <v>11991.012058364247</v>
      </c>
      <c r="E103" s="1">
        <f t="shared" si="9"/>
        <v>2050630.3784719186</v>
      </c>
    </row>
    <row r="104" spans="1:5">
      <c r="A104">
        <f t="shared" si="5"/>
        <v>91</v>
      </c>
      <c r="B104" s="1">
        <f t="shared" si="6"/>
        <v>16962.700734602204</v>
      </c>
      <c r="C104" s="1">
        <f t="shared" si="7"/>
        <v>5000.6901935160113</v>
      </c>
      <c r="D104" s="1">
        <f t="shared" si="8"/>
        <v>11962.010541086192</v>
      </c>
      <c r="E104" s="1">
        <f t="shared" si="9"/>
        <v>2045629.6882784027</v>
      </c>
    </row>
    <row r="105" spans="1:5">
      <c r="A105">
        <f t="shared" si="5"/>
        <v>92</v>
      </c>
      <c r="B105" s="1">
        <f t="shared" si="6"/>
        <v>16962.700734602204</v>
      </c>
      <c r="C105" s="1">
        <f t="shared" si="7"/>
        <v>5029.8608863115205</v>
      </c>
      <c r="D105" s="1">
        <f t="shared" si="8"/>
        <v>11932.839848290683</v>
      </c>
      <c r="E105" s="1">
        <f t="shared" si="9"/>
        <v>2040599.827392091</v>
      </c>
    </row>
    <row r="106" spans="1:5">
      <c r="A106">
        <f t="shared" si="5"/>
        <v>93</v>
      </c>
      <c r="B106" s="1">
        <f t="shared" si="6"/>
        <v>16962.700734602204</v>
      </c>
      <c r="C106" s="1">
        <f t="shared" si="7"/>
        <v>5059.2017414816728</v>
      </c>
      <c r="D106" s="1">
        <f t="shared" si="8"/>
        <v>11903.498993120531</v>
      </c>
      <c r="E106" s="1">
        <f t="shared" si="9"/>
        <v>2035540.6256506094</v>
      </c>
    </row>
    <row r="107" spans="1:5">
      <c r="A107">
        <f t="shared" si="5"/>
        <v>94</v>
      </c>
      <c r="B107" s="1">
        <f t="shared" si="6"/>
        <v>16962.700734602204</v>
      </c>
      <c r="C107" s="1">
        <f t="shared" si="7"/>
        <v>5088.7137516403145</v>
      </c>
      <c r="D107" s="1">
        <f t="shared" si="8"/>
        <v>11873.986982961889</v>
      </c>
      <c r="E107" s="1">
        <f t="shared" si="9"/>
        <v>2030451.911898969</v>
      </c>
    </row>
    <row r="108" spans="1:5">
      <c r="A108">
        <f t="shared" si="5"/>
        <v>95</v>
      </c>
      <c r="B108" s="1">
        <f t="shared" si="6"/>
        <v>16962.700734602204</v>
      </c>
      <c r="C108" s="1">
        <f t="shared" si="7"/>
        <v>5118.3979151915501</v>
      </c>
      <c r="D108" s="1">
        <f t="shared" si="8"/>
        <v>11844.302819410654</v>
      </c>
      <c r="E108" s="1">
        <f t="shared" si="9"/>
        <v>2025333.5139837775</v>
      </c>
    </row>
    <row r="109" spans="1:5">
      <c r="A109">
        <f t="shared" si="5"/>
        <v>96</v>
      </c>
      <c r="B109" s="1">
        <f t="shared" si="6"/>
        <v>16962.700734602204</v>
      </c>
      <c r="C109" s="1">
        <f t="shared" si="7"/>
        <v>5148.2552363635004</v>
      </c>
      <c r="D109" s="1">
        <f t="shared" si="8"/>
        <v>11814.445498238703</v>
      </c>
      <c r="E109" s="1">
        <f t="shared" si="9"/>
        <v>2020185.258747414</v>
      </c>
    </row>
    <row r="110" spans="1:5">
      <c r="A110">
        <f t="shared" si="5"/>
        <v>97</v>
      </c>
      <c r="B110" s="1">
        <f t="shared" si="6"/>
        <v>16962.700734602204</v>
      </c>
      <c r="C110" s="1">
        <f t="shared" si="7"/>
        <v>5178.2867252422875</v>
      </c>
      <c r="D110" s="1">
        <f t="shared" si="8"/>
        <v>11784.414009359916</v>
      </c>
      <c r="E110" s="1">
        <f t="shared" si="9"/>
        <v>2015006.9720221716</v>
      </c>
    </row>
    <row r="111" spans="1:5">
      <c r="A111">
        <f t="shared" si="5"/>
        <v>98</v>
      </c>
      <c r="B111" s="1">
        <f t="shared" si="6"/>
        <v>16962.700734602204</v>
      </c>
      <c r="C111" s="1">
        <f t="shared" si="7"/>
        <v>5208.4933978062018</v>
      </c>
      <c r="D111" s="1">
        <f t="shared" si="8"/>
        <v>11754.207336796002</v>
      </c>
      <c r="E111" s="1">
        <f t="shared" si="9"/>
        <v>2009798.4786243653</v>
      </c>
    </row>
    <row r="112" spans="1:5">
      <c r="A112">
        <f t="shared" si="5"/>
        <v>99</v>
      </c>
      <c r="B112" s="1">
        <f t="shared" si="6"/>
        <v>16962.700734602204</v>
      </c>
      <c r="C112" s="1">
        <f t="shared" si="7"/>
        <v>5238.8762759600722</v>
      </c>
      <c r="D112" s="1">
        <f t="shared" si="8"/>
        <v>11723.824458642132</v>
      </c>
      <c r="E112" s="1">
        <f t="shared" si="9"/>
        <v>2004559.6023484052</v>
      </c>
    </row>
    <row r="113" spans="1:5">
      <c r="A113">
        <f t="shared" si="5"/>
        <v>100</v>
      </c>
      <c r="B113" s="1">
        <f t="shared" si="6"/>
        <v>16962.700734602204</v>
      </c>
      <c r="C113" s="1">
        <f t="shared" si="7"/>
        <v>5269.43638756984</v>
      </c>
      <c r="D113" s="1">
        <f t="shared" si="8"/>
        <v>11693.264347032364</v>
      </c>
      <c r="E113" s="1">
        <f t="shared" si="9"/>
        <v>1999290.1659608353</v>
      </c>
    </row>
    <row r="114" spans="1:5">
      <c r="A114">
        <f t="shared" si="5"/>
        <v>101</v>
      </c>
      <c r="B114" s="1">
        <f t="shared" si="6"/>
        <v>16962.700734602204</v>
      </c>
      <c r="C114" s="1">
        <f t="shared" si="7"/>
        <v>5300.17476649733</v>
      </c>
      <c r="D114" s="1">
        <f t="shared" si="8"/>
        <v>11662.525968104874</v>
      </c>
      <c r="E114" s="1">
        <f t="shared" si="9"/>
        <v>1993989.9911943381</v>
      </c>
    </row>
    <row r="115" spans="1:5">
      <c r="A115">
        <f t="shared" si="5"/>
        <v>102</v>
      </c>
      <c r="B115" s="1">
        <f t="shared" si="6"/>
        <v>16962.700734602204</v>
      </c>
      <c r="C115" s="1">
        <f t="shared" si="7"/>
        <v>5331.0924526352319</v>
      </c>
      <c r="D115" s="1">
        <f t="shared" si="8"/>
        <v>11631.608281966972</v>
      </c>
      <c r="E115" s="1">
        <f t="shared" si="9"/>
        <v>1988658.8987417028</v>
      </c>
    </row>
    <row r="116" spans="1:5">
      <c r="A116">
        <f t="shared" si="5"/>
        <v>103</v>
      </c>
      <c r="B116" s="1">
        <f t="shared" si="6"/>
        <v>16962.700734602204</v>
      </c>
      <c r="C116" s="1">
        <f t="shared" si="7"/>
        <v>5362.1904919422705</v>
      </c>
      <c r="D116" s="1">
        <f t="shared" si="8"/>
        <v>11600.510242659933</v>
      </c>
      <c r="E116" s="1">
        <f t="shared" si="9"/>
        <v>1983296.7082497606</v>
      </c>
    </row>
    <row r="117" spans="1:5">
      <c r="A117">
        <f t="shared" si="5"/>
        <v>104</v>
      </c>
      <c r="B117" s="1">
        <f t="shared" si="6"/>
        <v>16962.700734602204</v>
      </c>
      <c r="C117" s="1">
        <f t="shared" si="7"/>
        <v>5393.4699364785993</v>
      </c>
      <c r="D117" s="1">
        <f t="shared" si="8"/>
        <v>11569.230798123604</v>
      </c>
      <c r="E117" s="1">
        <f t="shared" si="9"/>
        <v>1977903.2383132819</v>
      </c>
    </row>
    <row r="118" spans="1:5">
      <c r="A118">
        <f t="shared" si="5"/>
        <v>105</v>
      </c>
      <c r="B118" s="1">
        <f t="shared" si="6"/>
        <v>16962.700734602204</v>
      </c>
      <c r="C118" s="1">
        <f t="shared" si="7"/>
        <v>5424.931844441393</v>
      </c>
      <c r="D118" s="1">
        <f t="shared" si="8"/>
        <v>11537.768890160811</v>
      </c>
      <c r="E118" s="1">
        <f t="shared" si="9"/>
        <v>1972478.3064688405</v>
      </c>
    </row>
    <row r="119" spans="1:5">
      <c r="A119">
        <f t="shared" si="5"/>
        <v>106</v>
      </c>
      <c r="B119" s="1">
        <f t="shared" si="6"/>
        <v>16962.700734602204</v>
      </c>
      <c r="C119" s="1">
        <f t="shared" si="7"/>
        <v>5456.577280200634</v>
      </c>
      <c r="D119" s="1">
        <f t="shared" si="8"/>
        <v>11506.12345440157</v>
      </c>
      <c r="E119" s="1">
        <f t="shared" si="9"/>
        <v>1967021.7291886399</v>
      </c>
    </row>
    <row r="120" spans="1:5">
      <c r="A120">
        <f t="shared" si="5"/>
        <v>107</v>
      </c>
      <c r="B120" s="1">
        <f t="shared" si="6"/>
        <v>16962.700734602204</v>
      </c>
      <c r="C120" s="1">
        <f t="shared" si="7"/>
        <v>5488.4073143351379</v>
      </c>
      <c r="D120" s="1">
        <f t="shared" si="8"/>
        <v>11474.293420267066</v>
      </c>
      <c r="E120" s="1">
        <f t="shared" si="9"/>
        <v>1961533.3218743047</v>
      </c>
    </row>
    <row r="121" spans="1:5">
      <c r="A121">
        <f t="shared" si="5"/>
        <v>108</v>
      </c>
      <c r="B121" s="1">
        <f t="shared" si="6"/>
        <v>16962.700734602204</v>
      </c>
      <c r="C121" s="1">
        <f t="shared" si="7"/>
        <v>5520.4230236687599</v>
      </c>
      <c r="D121" s="1">
        <f t="shared" si="8"/>
        <v>11442.277710933444</v>
      </c>
      <c r="E121" s="1">
        <f t="shared" si="9"/>
        <v>1956012.8988506359</v>
      </c>
    </row>
    <row r="122" spans="1:5">
      <c r="A122">
        <f t="shared" si="5"/>
        <v>109</v>
      </c>
      <c r="B122" s="1">
        <f t="shared" si="6"/>
        <v>16962.700734602204</v>
      </c>
      <c r="C122" s="1">
        <f t="shared" si="7"/>
        <v>5552.6254913068278</v>
      </c>
      <c r="D122" s="1">
        <f t="shared" si="8"/>
        <v>11410.075243295376</v>
      </c>
      <c r="E122" s="1">
        <f t="shared" si="9"/>
        <v>1950460.273359329</v>
      </c>
    </row>
    <row r="123" spans="1:5">
      <c r="A123">
        <f t="shared" si="5"/>
        <v>110</v>
      </c>
      <c r="B123" s="1">
        <f t="shared" si="6"/>
        <v>16962.700734602204</v>
      </c>
      <c r="C123" s="1">
        <f t="shared" si="7"/>
        <v>5585.0158066727836</v>
      </c>
      <c r="D123" s="1">
        <f t="shared" si="8"/>
        <v>11377.68492792942</v>
      </c>
      <c r="E123" s="1">
        <f t="shared" si="9"/>
        <v>1944875.2575526561</v>
      </c>
    </row>
    <row r="124" spans="1:5">
      <c r="A124">
        <f t="shared" si="5"/>
        <v>111</v>
      </c>
      <c r="B124" s="1">
        <f t="shared" si="6"/>
        <v>16962.700734602204</v>
      </c>
      <c r="C124" s="1">
        <f t="shared" si="7"/>
        <v>5617.5950655450433</v>
      </c>
      <c r="D124" s="1">
        <f t="shared" si="8"/>
        <v>11345.10566905716</v>
      </c>
      <c r="E124" s="1">
        <f t="shared" si="9"/>
        <v>1939257.6624871111</v>
      </c>
    </row>
    <row r="125" spans="1:5">
      <c r="A125">
        <f t="shared" si="5"/>
        <v>112</v>
      </c>
      <c r="B125" s="1">
        <f t="shared" si="6"/>
        <v>16962.700734602204</v>
      </c>
      <c r="C125" s="1">
        <f t="shared" si="7"/>
        <v>5650.3643700940556</v>
      </c>
      <c r="D125" s="1">
        <f t="shared" si="8"/>
        <v>11312.336364508148</v>
      </c>
      <c r="E125" s="1">
        <f t="shared" si="9"/>
        <v>1933607.2981170169</v>
      </c>
    </row>
    <row r="126" spans="1:5">
      <c r="A126">
        <f t="shared" si="5"/>
        <v>113</v>
      </c>
      <c r="B126" s="1">
        <f t="shared" si="6"/>
        <v>16962.700734602204</v>
      </c>
      <c r="C126" s="1">
        <f t="shared" si="7"/>
        <v>5683.3248289196054</v>
      </c>
      <c r="D126" s="1">
        <f t="shared" si="8"/>
        <v>11279.375905682598</v>
      </c>
      <c r="E126" s="1">
        <f t="shared" si="9"/>
        <v>1927923.9732880974</v>
      </c>
    </row>
    <row r="127" spans="1:5">
      <c r="A127">
        <f t="shared" si="5"/>
        <v>114</v>
      </c>
      <c r="B127" s="1">
        <f t="shared" si="6"/>
        <v>16962.700734602204</v>
      </c>
      <c r="C127" s="1">
        <f t="shared" si="7"/>
        <v>5716.4775570883012</v>
      </c>
      <c r="D127" s="1">
        <f t="shared" si="8"/>
        <v>11246.223177513903</v>
      </c>
      <c r="E127" s="1">
        <f t="shared" si="9"/>
        <v>1922207.4957310092</v>
      </c>
    </row>
    <row r="128" spans="1:5">
      <c r="A128">
        <f t="shared" si="5"/>
        <v>115</v>
      </c>
      <c r="B128" s="1">
        <f t="shared" si="6"/>
        <v>16962.700734602204</v>
      </c>
      <c r="C128" s="1">
        <f t="shared" si="7"/>
        <v>5749.823676171316</v>
      </c>
      <c r="D128" s="1">
        <f t="shared" si="8"/>
        <v>11212.877058430888</v>
      </c>
      <c r="E128" s="1">
        <f t="shared" si="9"/>
        <v>1916457.6720548379</v>
      </c>
    </row>
    <row r="129" spans="1:5">
      <c r="A129">
        <f t="shared" si="5"/>
        <v>116</v>
      </c>
      <c r="B129" s="1">
        <f t="shared" si="6"/>
        <v>16962.700734602204</v>
      </c>
      <c r="C129" s="1">
        <f t="shared" si="7"/>
        <v>5783.3643142823148</v>
      </c>
      <c r="D129" s="1">
        <f t="shared" si="8"/>
        <v>11179.336420319889</v>
      </c>
      <c r="E129" s="1">
        <f t="shared" si="9"/>
        <v>1910674.3077405556</v>
      </c>
    </row>
    <row r="130" spans="1:5">
      <c r="A130">
        <f t="shared" si="5"/>
        <v>117</v>
      </c>
      <c r="B130" s="1">
        <f t="shared" si="6"/>
        <v>16962.700734602204</v>
      </c>
      <c r="C130" s="1">
        <f t="shared" si="7"/>
        <v>5817.1006061156295</v>
      </c>
      <c r="D130" s="1">
        <f t="shared" si="8"/>
        <v>11145.600128486574</v>
      </c>
      <c r="E130" s="1">
        <f t="shared" si="9"/>
        <v>1904857.2071344401</v>
      </c>
    </row>
    <row r="131" spans="1:5">
      <c r="A131">
        <f t="shared" si="5"/>
        <v>118</v>
      </c>
      <c r="B131" s="1">
        <f t="shared" si="6"/>
        <v>16962.700734602204</v>
      </c>
      <c r="C131" s="1">
        <f t="shared" si="7"/>
        <v>5851.0336929846362</v>
      </c>
      <c r="D131" s="1">
        <f t="shared" si="8"/>
        <v>11111.667041617568</v>
      </c>
      <c r="E131" s="1">
        <f t="shared" si="9"/>
        <v>1899006.1734414555</v>
      </c>
    </row>
    <row r="132" spans="1:5">
      <c r="A132">
        <f t="shared" si="5"/>
        <v>119</v>
      </c>
      <c r="B132" s="1">
        <f t="shared" si="6"/>
        <v>16962.700734602204</v>
      </c>
      <c r="C132" s="1">
        <f t="shared" si="7"/>
        <v>5885.1647228603797</v>
      </c>
      <c r="D132" s="1">
        <f t="shared" si="8"/>
        <v>11077.536011741824</v>
      </c>
      <c r="E132" s="1">
        <f t="shared" si="9"/>
        <v>1893121.0087185951</v>
      </c>
    </row>
    <row r="133" spans="1:5">
      <c r="A133">
        <f t="shared" si="5"/>
        <v>120</v>
      </c>
      <c r="B133" s="1">
        <f t="shared" si="6"/>
        <v>16962.700734602204</v>
      </c>
      <c r="C133" s="1">
        <f t="shared" si="7"/>
        <v>5919.4948504103977</v>
      </c>
      <c r="D133" s="1">
        <f t="shared" si="8"/>
        <v>11043.205884191806</v>
      </c>
      <c r="E133" s="1">
        <f t="shared" si="9"/>
        <v>1887201.5138681848</v>
      </c>
    </row>
    <row r="134" spans="1:5">
      <c r="A134">
        <f t="shared" si="5"/>
        <v>121</v>
      </c>
      <c r="B134" s="1">
        <f t="shared" si="6"/>
        <v>16962.700734602204</v>
      </c>
      <c r="C134" s="1">
        <f t="shared" si="7"/>
        <v>5954.025237037793</v>
      </c>
      <c r="D134" s="1">
        <f t="shared" si="8"/>
        <v>11008.675497564411</v>
      </c>
      <c r="E134" s="1">
        <f t="shared" si="9"/>
        <v>1881247.488631147</v>
      </c>
    </row>
    <row r="135" spans="1:5">
      <c r="A135">
        <f t="shared" si="5"/>
        <v>122</v>
      </c>
      <c r="B135" s="1">
        <f t="shared" si="6"/>
        <v>16962.700734602204</v>
      </c>
      <c r="C135" s="1">
        <f t="shared" si="7"/>
        <v>5988.7570509205125</v>
      </c>
      <c r="D135" s="1">
        <f t="shared" si="8"/>
        <v>10973.943683681691</v>
      </c>
      <c r="E135" s="1">
        <f t="shared" si="9"/>
        <v>1875258.7315802264</v>
      </c>
    </row>
    <row r="136" spans="1:5">
      <c r="A136">
        <f t="shared" si="5"/>
        <v>123</v>
      </c>
      <c r="B136" s="1">
        <f t="shared" si="6"/>
        <v>16962.700734602204</v>
      </c>
      <c r="C136" s="1">
        <f t="shared" si="7"/>
        <v>6023.6914670508831</v>
      </c>
      <c r="D136" s="1">
        <f t="shared" si="8"/>
        <v>10939.009267551321</v>
      </c>
      <c r="E136" s="1">
        <f t="shared" si="9"/>
        <v>1869235.0401131755</v>
      </c>
    </row>
    <row r="137" spans="1:5">
      <c r="A137">
        <f t="shared" si="5"/>
        <v>124</v>
      </c>
      <c r="B137" s="1">
        <f t="shared" si="6"/>
        <v>16962.700734602204</v>
      </c>
      <c r="C137" s="1">
        <f t="shared" si="7"/>
        <v>6058.8296672753459</v>
      </c>
      <c r="D137" s="1">
        <f t="shared" si="8"/>
        <v>10903.871067326858</v>
      </c>
      <c r="E137" s="1">
        <f t="shared" si="9"/>
        <v>1863176.2104459002</v>
      </c>
    </row>
    <row r="138" spans="1:5">
      <c r="A138">
        <f t="shared" si="5"/>
        <v>125</v>
      </c>
      <c r="B138" s="1">
        <f t="shared" si="6"/>
        <v>16962.700734602204</v>
      </c>
      <c r="C138" s="1">
        <f t="shared" si="7"/>
        <v>6094.1728403344514</v>
      </c>
      <c r="D138" s="1">
        <f t="shared" si="8"/>
        <v>10868.527894267752</v>
      </c>
      <c r="E138" s="1">
        <f t="shared" si="9"/>
        <v>1857082.0376055657</v>
      </c>
    </row>
    <row r="139" spans="1:5">
      <c r="A139">
        <f t="shared" si="5"/>
        <v>126</v>
      </c>
      <c r="B139" s="1">
        <f t="shared" si="6"/>
        <v>16962.700734602204</v>
      </c>
      <c r="C139" s="1">
        <f t="shared" si="7"/>
        <v>6129.7221819030692</v>
      </c>
      <c r="D139" s="1">
        <f t="shared" si="8"/>
        <v>10832.978552699135</v>
      </c>
      <c r="E139" s="1">
        <f t="shared" si="9"/>
        <v>1850952.3154236628</v>
      </c>
    </row>
    <row r="140" spans="1:5">
      <c r="A140">
        <f t="shared" si="5"/>
        <v>127</v>
      </c>
      <c r="B140" s="1">
        <f t="shared" si="6"/>
        <v>16962.700734602204</v>
      </c>
      <c r="C140" s="1">
        <f t="shared" si="7"/>
        <v>6165.4788946308363</v>
      </c>
      <c r="D140" s="1">
        <f t="shared" si="8"/>
        <v>10797.221839971367</v>
      </c>
      <c r="E140" s="1">
        <f t="shared" si="9"/>
        <v>1844786.8365290319</v>
      </c>
    </row>
    <row r="141" spans="1:5">
      <c r="A141">
        <f t="shared" si="5"/>
        <v>128</v>
      </c>
      <c r="B141" s="1">
        <f t="shared" si="6"/>
        <v>16962.700734602204</v>
      </c>
      <c r="C141" s="1">
        <f t="shared" si="7"/>
        <v>6201.4441881828516</v>
      </c>
      <c r="D141" s="1">
        <f t="shared" si="8"/>
        <v>10761.256546419352</v>
      </c>
      <c r="E141" s="1">
        <f t="shared" si="9"/>
        <v>1838585.3923408489</v>
      </c>
    </row>
    <row r="142" spans="1:5">
      <c r="A142">
        <f t="shared" si="5"/>
        <v>129</v>
      </c>
      <c r="B142" s="1">
        <f t="shared" si="6"/>
        <v>16962.700734602204</v>
      </c>
      <c r="C142" s="1">
        <f t="shared" si="7"/>
        <v>6237.619279280585</v>
      </c>
      <c r="D142" s="1">
        <f t="shared" si="8"/>
        <v>10725.081455321619</v>
      </c>
      <c r="E142" s="1">
        <f t="shared" si="9"/>
        <v>1832347.7730615684</v>
      </c>
    </row>
    <row r="143" spans="1:5">
      <c r="A143">
        <f t="shared" si="5"/>
        <v>130</v>
      </c>
      <c r="B143" s="1">
        <f t="shared" si="6"/>
        <v>16962.700734602204</v>
      </c>
      <c r="C143" s="1">
        <f t="shared" si="7"/>
        <v>6274.0053917430541</v>
      </c>
      <c r="D143" s="1">
        <f t="shared" si="8"/>
        <v>10688.69534285915</v>
      </c>
      <c r="E143" s="1">
        <f t="shared" si="9"/>
        <v>1826073.7676698253</v>
      </c>
    </row>
    <row r="144" spans="1:5">
      <c r="A144">
        <f t="shared" ref="A144:A178" si="10">IF(($B$7*$B$8&gt;A143),IF(($B$7*$B$8)=A143,"",A143+1),"")</f>
        <v>131</v>
      </c>
      <c r="B144" s="1">
        <f t="shared" ref="B144:B207" si="11">IF(A144="","",$B$14)</f>
        <v>16962.700734602204</v>
      </c>
      <c r="C144" s="1">
        <f t="shared" ref="C144:C178" si="12">IF(A144="","",B144-D144)</f>
        <v>6310.6037565282222</v>
      </c>
      <c r="D144" s="1">
        <f t="shared" ref="D144:D178" si="13">IF(A144="","",(E143*($B$6/$B$8)))</f>
        <v>10652.096978073982</v>
      </c>
      <c r="E144" s="1">
        <f t="shared" ref="E144:E178" si="14">IF(A144="","",E143-C144)</f>
        <v>1819763.1639132972</v>
      </c>
    </row>
    <row r="145" spans="1:5">
      <c r="A145">
        <f t="shared" si="10"/>
        <v>132</v>
      </c>
      <c r="B145" s="1">
        <f t="shared" si="11"/>
        <v>16962.700734602204</v>
      </c>
      <c r="C145" s="1">
        <f t="shared" si="12"/>
        <v>6347.4156117746352</v>
      </c>
      <c r="D145" s="1">
        <f t="shared" si="13"/>
        <v>10615.285122827569</v>
      </c>
      <c r="E145" s="1">
        <f t="shared" si="14"/>
        <v>1813415.7483015226</v>
      </c>
    </row>
    <row r="146" spans="1:5">
      <c r="A146">
        <f t="shared" si="10"/>
        <v>133</v>
      </c>
      <c r="B146" s="1">
        <f t="shared" si="11"/>
        <v>16962.700734602204</v>
      </c>
      <c r="C146" s="1">
        <f t="shared" si="12"/>
        <v>6384.4422028433219</v>
      </c>
      <c r="D146" s="1">
        <f t="shared" si="13"/>
        <v>10578.258531758882</v>
      </c>
      <c r="E146" s="1">
        <f t="shared" si="14"/>
        <v>1807031.3060986793</v>
      </c>
    </row>
    <row r="147" spans="1:5">
      <c r="A147">
        <f t="shared" si="10"/>
        <v>134</v>
      </c>
      <c r="B147" s="1">
        <f t="shared" si="11"/>
        <v>16962.700734602204</v>
      </c>
      <c r="C147" s="1">
        <f t="shared" si="12"/>
        <v>6421.6847823599073</v>
      </c>
      <c r="D147" s="1">
        <f t="shared" si="13"/>
        <v>10541.015952242296</v>
      </c>
      <c r="E147" s="1">
        <f t="shared" si="14"/>
        <v>1800609.6213163193</v>
      </c>
    </row>
    <row r="148" spans="1:5">
      <c r="A148">
        <f t="shared" si="10"/>
        <v>135</v>
      </c>
      <c r="B148" s="1">
        <f t="shared" si="11"/>
        <v>16962.700734602204</v>
      </c>
      <c r="C148" s="1">
        <f t="shared" si="12"/>
        <v>6459.144610257008</v>
      </c>
      <c r="D148" s="1">
        <f t="shared" si="13"/>
        <v>10503.556124345196</v>
      </c>
      <c r="E148" s="1">
        <f t="shared" si="14"/>
        <v>1794150.4767060622</v>
      </c>
    </row>
    <row r="149" spans="1:5">
      <c r="A149">
        <f t="shared" si="10"/>
        <v>136</v>
      </c>
      <c r="B149" s="1">
        <f t="shared" si="11"/>
        <v>16962.700734602204</v>
      </c>
      <c r="C149" s="1">
        <f t="shared" si="12"/>
        <v>6496.8229538168398</v>
      </c>
      <c r="D149" s="1">
        <f t="shared" si="13"/>
        <v>10465.877780785364</v>
      </c>
      <c r="E149" s="1">
        <f t="shared" si="14"/>
        <v>1787653.6537522455</v>
      </c>
    </row>
    <row r="150" spans="1:5">
      <c r="A150">
        <f t="shared" si="10"/>
        <v>137</v>
      </c>
      <c r="B150" s="1">
        <f t="shared" si="11"/>
        <v>16962.700734602204</v>
      </c>
      <c r="C150" s="1">
        <f t="shared" si="12"/>
        <v>6534.7210877141042</v>
      </c>
      <c r="D150" s="1">
        <f t="shared" si="13"/>
        <v>10427.9796468881</v>
      </c>
      <c r="E150" s="1">
        <f t="shared" si="14"/>
        <v>1781118.9326645313</v>
      </c>
    </row>
    <row r="151" spans="1:5">
      <c r="A151">
        <f t="shared" si="10"/>
        <v>138</v>
      </c>
      <c r="B151" s="1">
        <f t="shared" si="11"/>
        <v>16962.700734602204</v>
      </c>
      <c r="C151" s="1">
        <f t="shared" si="12"/>
        <v>6572.8402940591041</v>
      </c>
      <c r="D151" s="1">
        <f t="shared" si="13"/>
        <v>10389.8604405431</v>
      </c>
      <c r="E151" s="1">
        <f t="shared" si="14"/>
        <v>1774546.0923704721</v>
      </c>
    </row>
    <row r="152" spans="1:5">
      <c r="A152">
        <f t="shared" si="10"/>
        <v>139</v>
      </c>
      <c r="B152" s="1">
        <f t="shared" si="11"/>
        <v>16962.700734602204</v>
      </c>
      <c r="C152" s="1">
        <f t="shared" si="12"/>
        <v>6611.1818624411153</v>
      </c>
      <c r="D152" s="1">
        <f t="shared" si="13"/>
        <v>10351.518872161088</v>
      </c>
      <c r="E152" s="1">
        <f t="shared" si="14"/>
        <v>1767934.910508031</v>
      </c>
    </row>
    <row r="153" spans="1:5">
      <c r="A153">
        <f t="shared" si="10"/>
        <v>140</v>
      </c>
      <c r="B153" s="1">
        <f t="shared" si="11"/>
        <v>16962.700734602204</v>
      </c>
      <c r="C153" s="1">
        <f t="shared" si="12"/>
        <v>6649.7470899720229</v>
      </c>
      <c r="D153" s="1">
        <f t="shared" si="13"/>
        <v>10312.953644630181</v>
      </c>
      <c r="E153" s="1">
        <f t="shared" si="14"/>
        <v>1761285.163418059</v>
      </c>
    </row>
    <row r="154" spans="1:5">
      <c r="A154">
        <f t="shared" si="10"/>
        <v>141</v>
      </c>
      <c r="B154" s="1">
        <f t="shared" si="11"/>
        <v>16962.700734602204</v>
      </c>
      <c r="C154" s="1">
        <f t="shared" si="12"/>
        <v>6688.5372813301929</v>
      </c>
      <c r="D154" s="1">
        <f t="shared" si="13"/>
        <v>10274.163453272011</v>
      </c>
      <c r="E154" s="1">
        <f t="shared" si="14"/>
        <v>1754596.6261367288</v>
      </c>
    </row>
    <row r="155" spans="1:5">
      <c r="A155">
        <f t="shared" si="10"/>
        <v>142</v>
      </c>
      <c r="B155" s="1">
        <f t="shared" si="11"/>
        <v>16962.700734602204</v>
      </c>
      <c r="C155" s="1">
        <f t="shared" si="12"/>
        <v>6727.5537488046193</v>
      </c>
      <c r="D155" s="1">
        <f t="shared" si="13"/>
        <v>10235.146985797584</v>
      </c>
      <c r="E155" s="1">
        <f t="shared" si="14"/>
        <v>1747869.0723879242</v>
      </c>
    </row>
    <row r="156" spans="1:5">
      <c r="A156">
        <f t="shared" si="10"/>
        <v>143</v>
      </c>
      <c r="B156" s="1">
        <f t="shared" si="11"/>
        <v>16962.700734602204</v>
      </c>
      <c r="C156" s="1">
        <f t="shared" si="12"/>
        <v>6766.7978123393113</v>
      </c>
      <c r="D156" s="1">
        <f t="shared" si="13"/>
        <v>10195.902922262892</v>
      </c>
      <c r="E156" s="1">
        <f t="shared" si="14"/>
        <v>1741102.2745755848</v>
      </c>
    </row>
    <row r="157" spans="1:5">
      <c r="A157">
        <f t="shared" si="10"/>
        <v>144</v>
      </c>
      <c r="B157" s="1">
        <f t="shared" si="11"/>
        <v>16962.700734602204</v>
      </c>
      <c r="C157" s="1">
        <f t="shared" si="12"/>
        <v>6806.2707995779583</v>
      </c>
      <c r="D157" s="1">
        <f t="shared" si="13"/>
        <v>10156.429935024245</v>
      </c>
      <c r="E157" s="1">
        <f t="shared" si="14"/>
        <v>1734296.0037760069</v>
      </c>
    </row>
    <row r="158" spans="1:5">
      <c r="A158">
        <f t="shared" si="10"/>
        <v>145</v>
      </c>
      <c r="B158" s="1">
        <f t="shared" si="11"/>
        <v>16962.700734602204</v>
      </c>
      <c r="C158" s="1">
        <f t="shared" si="12"/>
        <v>6845.9740459088298</v>
      </c>
      <c r="D158" s="1">
        <f t="shared" si="13"/>
        <v>10116.726688693374</v>
      </c>
      <c r="E158" s="1">
        <f t="shared" si="14"/>
        <v>1727450.0297300981</v>
      </c>
    </row>
    <row r="159" spans="1:5">
      <c r="A159">
        <f t="shared" si="10"/>
        <v>146</v>
      </c>
      <c r="B159" s="1">
        <f t="shared" si="11"/>
        <v>16962.700734602204</v>
      </c>
      <c r="C159" s="1">
        <f t="shared" si="12"/>
        <v>6885.9088945099647</v>
      </c>
      <c r="D159" s="1">
        <f t="shared" si="13"/>
        <v>10076.791840092239</v>
      </c>
      <c r="E159" s="1">
        <f t="shared" si="14"/>
        <v>1720564.1208355881</v>
      </c>
    </row>
    <row r="160" spans="1:5">
      <c r="A160">
        <f t="shared" si="10"/>
        <v>147</v>
      </c>
      <c r="B160" s="1">
        <f t="shared" si="11"/>
        <v>16962.700734602204</v>
      </c>
      <c r="C160" s="1">
        <f t="shared" si="12"/>
        <v>6926.0766963946062</v>
      </c>
      <c r="D160" s="1">
        <f t="shared" si="13"/>
        <v>10036.624038207598</v>
      </c>
      <c r="E160" s="1">
        <f t="shared" si="14"/>
        <v>1713638.0441391934</v>
      </c>
    </row>
    <row r="161" spans="1:5">
      <c r="A161">
        <f t="shared" si="10"/>
        <v>148</v>
      </c>
      <c r="B161" s="1">
        <f t="shared" si="11"/>
        <v>16962.700734602204</v>
      </c>
      <c r="C161" s="1">
        <f t="shared" si="12"/>
        <v>6966.4788104569088</v>
      </c>
      <c r="D161" s="1">
        <f t="shared" si="13"/>
        <v>9996.2219241452949</v>
      </c>
      <c r="E161" s="1">
        <f t="shared" si="14"/>
        <v>1706671.5653287366</v>
      </c>
    </row>
    <row r="162" spans="1:5">
      <c r="A162">
        <f t="shared" si="10"/>
        <v>149</v>
      </c>
      <c r="B162" s="1">
        <f t="shared" si="11"/>
        <v>16962.700734602204</v>
      </c>
      <c r="C162" s="1">
        <f t="shared" si="12"/>
        <v>7007.1166035179067</v>
      </c>
      <c r="D162" s="1">
        <f t="shared" si="13"/>
        <v>9955.584131084297</v>
      </c>
      <c r="E162" s="1">
        <f t="shared" si="14"/>
        <v>1699664.4487252187</v>
      </c>
    </row>
    <row r="163" spans="1:5">
      <c r="A163">
        <f t="shared" si="10"/>
        <v>150</v>
      </c>
      <c r="B163" s="1">
        <f t="shared" si="11"/>
        <v>16962.700734602204</v>
      </c>
      <c r="C163" s="1">
        <f t="shared" si="12"/>
        <v>7047.9914503717609</v>
      </c>
      <c r="D163" s="1">
        <f t="shared" si="13"/>
        <v>9914.7092842304428</v>
      </c>
      <c r="E163" s="1">
        <f t="shared" si="14"/>
        <v>1692616.457274847</v>
      </c>
    </row>
    <row r="164" spans="1:5">
      <c r="A164">
        <f t="shared" si="10"/>
        <v>151</v>
      </c>
      <c r="B164" s="1">
        <f t="shared" si="11"/>
        <v>16962.700734602204</v>
      </c>
      <c r="C164" s="1">
        <f t="shared" si="12"/>
        <v>7089.1047338322624</v>
      </c>
      <c r="D164" s="1">
        <f t="shared" si="13"/>
        <v>9873.5960007699414</v>
      </c>
      <c r="E164" s="1">
        <f t="shared" si="14"/>
        <v>1685527.3525410148</v>
      </c>
    </row>
    <row r="165" spans="1:5">
      <c r="A165">
        <f t="shared" si="10"/>
        <v>152</v>
      </c>
      <c r="B165" s="1">
        <f t="shared" si="11"/>
        <v>16962.700734602204</v>
      </c>
      <c r="C165" s="1">
        <f t="shared" si="12"/>
        <v>7130.4578447796175</v>
      </c>
      <c r="D165" s="1">
        <f t="shared" si="13"/>
        <v>9832.2428898225862</v>
      </c>
      <c r="E165" s="1">
        <f t="shared" si="14"/>
        <v>1678396.8946962352</v>
      </c>
    </row>
    <row r="166" spans="1:5">
      <c r="A166">
        <f t="shared" si="10"/>
        <v>153</v>
      </c>
      <c r="B166" s="1">
        <f t="shared" si="11"/>
        <v>16962.700734602204</v>
      </c>
      <c r="C166" s="1">
        <f t="shared" si="12"/>
        <v>7172.0521822074988</v>
      </c>
      <c r="D166" s="1">
        <f t="shared" si="13"/>
        <v>9790.6485523947049</v>
      </c>
      <c r="E166" s="1">
        <f t="shared" si="14"/>
        <v>1671224.8425140276</v>
      </c>
    </row>
    <row r="167" spans="1:5">
      <c r="A167">
        <f t="shared" si="10"/>
        <v>154</v>
      </c>
      <c r="B167" s="1">
        <f t="shared" si="11"/>
        <v>16962.700734602204</v>
      </c>
      <c r="C167" s="1">
        <f t="shared" si="12"/>
        <v>7213.8891532703765</v>
      </c>
      <c r="D167" s="1">
        <f t="shared" si="13"/>
        <v>9748.8115813318273</v>
      </c>
      <c r="E167" s="1">
        <f t="shared" si="14"/>
        <v>1664010.9533607573</v>
      </c>
    </row>
    <row r="168" spans="1:5">
      <c r="A168">
        <f t="shared" si="10"/>
        <v>155</v>
      </c>
      <c r="B168" s="1">
        <f t="shared" si="11"/>
        <v>16962.700734602204</v>
      </c>
      <c r="C168" s="1">
        <f t="shared" si="12"/>
        <v>7255.9701733311194</v>
      </c>
      <c r="D168" s="1">
        <f t="shared" si="13"/>
        <v>9706.7305612710843</v>
      </c>
      <c r="E168" s="1">
        <f t="shared" si="14"/>
        <v>1656754.9831874261</v>
      </c>
    </row>
    <row r="169" spans="1:5">
      <c r="A169">
        <f t="shared" si="10"/>
        <v>156</v>
      </c>
      <c r="B169" s="1">
        <f t="shared" si="11"/>
        <v>16962.700734602204</v>
      </c>
      <c r="C169" s="1">
        <f t="shared" si="12"/>
        <v>7298.2966660088841</v>
      </c>
      <c r="D169" s="1">
        <f t="shared" si="13"/>
        <v>9664.4040685933196</v>
      </c>
      <c r="E169" s="1">
        <f t="shared" si="14"/>
        <v>1649456.6865214172</v>
      </c>
    </row>
    <row r="170" spans="1:5">
      <c r="A170">
        <f t="shared" si="10"/>
        <v>157</v>
      </c>
      <c r="B170" s="1">
        <f t="shared" si="11"/>
        <v>16962.700734602204</v>
      </c>
      <c r="C170" s="1">
        <f t="shared" si="12"/>
        <v>7340.8700632272703</v>
      </c>
      <c r="D170" s="1">
        <f t="shared" si="13"/>
        <v>9621.8306713749334</v>
      </c>
      <c r="E170" s="1">
        <f t="shared" si="14"/>
        <v>1642115.8164581899</v>
      </c>
    </row>
    <row r="171" spans="1:5">
      <c r="A171">
        <f t="shared" si="10"/>
        <v>158</v>
      </c>
      <c r="B171" s="1">
        <f t="shared" si="11"/>
        <v>16962.700734602204</v>
      </c>
      <c r="C171" s="1">
        <f t="shared" si="12"/>
        <v>7383.6918052627625</v>
      </c>
      <c r="D171" s="1">
        <f t="shared" si="13"/>
        <v>9579.0089293394412</v>
      </c>
      <c r="E171" s="1">
        <f t="shared" si="14"/>
        <v>1634732.124652927</v>
      </c>
    </row>
    <row r="172" spans="1:5">
      <c r="A172">
        <f t="shared" si="10"/>
        <v>159</v>
      </c>
      <c r="B172" s="1">
        <f t="shared" si="11"/>
        <v>16962.700734602204</v>
      </c>
      <c r="C172" s="1">
        <f t="shared" si="12"/>
        <v>7426.7633407934627</v>
      </c>
      <c r="D172" s="1">
        <f t="shared" si="13"/>
        <v>9535.937393808741</v>
      </c>
      <c r="E172" s="1">
        <f t="shared" si="14"/>
        <v>1627305.3613121335</v>
      </c>
    </row>
    <row r="173" spans="1:5">
      <c r="A173">
        <f t="shared" si="10"/>
        <v>160</v>
      </c>
      <c r="B173" s="1">
        <f t="shared" si="11"/>
        <v>16962.700734602204</v>
      </c>
      <c r="C173" s="1">
        <f t="shared" si="12"/>
        <v>7470.086126948092</v>
      </c>
      <c r="D173" s="1">
        <f t="shared" si="13"/>
        <v>9492.6146076541118</v>
      </c>
      <c r="E173" s="1">
        <f t="shared" si="14"/>
        <v>1619835.2751851855</v>
      </c>
    </row>
    <row r="174" spans="1:5">
      <c r="A174">
        <f t="shared" si="10"/>
        <v>161</v>
      </c>
      <c r="B174" s="1">
        <f t="shared" si="11"/>
        <v>16962.700734602204</v>
      </c>
      <c r="C174" s="1">
        <f t="shared" si="12"/>
        <v>7513.6616293552888</v>
      </c>
      <c r="D174" s="1">
        <f t="shared" si="13"/>
        <v>9449.0391052469149</v>
      </c>
      <c r="E174" s="1">
        <f t="shared" si="14"/>
        <v>1612321.6135558302</v>
      </c>
    </row>
    <row r="175" spans="1:5">
      <c r="A175">
        <f t="shared" si="10"/>
        <v>162</v>
      </c>
      <c r="B175" s="1">
        <f t="shared" si="11"/>
        <v>16962.700734602204</v>
      </c>
      <c r="C175" s="1">
        <f t="shared" si="12"/>
        <v>7557.4913221931929</v>
      </c>
      <c r="D175" s="1">
        <f t="shared" si="13"/>
        <v>9405.2094124090108</v>
      </c>
      <c r="E175" s="1">
        <f t="shared" si="14"/>
        <v>1604764.1222336369</v>
      </c>
    </row>
    <row r="176" spans="1:5">
      <c r="A176">
        <f t="shared" si="10"/>
        <v>163</v>
      </c>
      <c r="B176" s="1">
        <f t="shared" si="11"/>
        <v>16962.700734602204</v>
      </c>
      <c r="C176" s="1">
        <f t="shared" si="12"/>
        <v>7601.5766882393218</v>
      </c>
      <c r="D176" s="1">
        <f t="shared" si="13"/>
        <v>9361.1240463628819</v>
      </c>
      <c r="E176" s="1">
        <f t="shared" si="14"/>
        <v>1597162.5455453976</v>
      </c>
    </row>
    <row r="177" spans="1:5">
      <c r="A177">
        <f t="shared" si="10"/>
        <v>164</v>
      </c>
      <c r="B177" s="1">
        <f t="shared" si="11"/>
        <v>16962.700734602204</v>
      </c>
      <c r="C177" s="1">
        <f t="shared" si="12"/>
        <v>7645.919218920717</v>
      </c>
      <c r="D177" s="1">
        <f t="shared" si="13"/>
        <v>9316.7815156814868</v>
      </c>
      <c r="E177" s="1">
        <f t="shared" si="14"/>
        <v>1589516.6263264769</v>
      </c>
    </row>
    <row r="178" spans="1:5">
      <c r="A178">
        <f t="shared" si="10"/>
        <v>165</v>
      </c>
      <c r="B178" s="1">
        <f t="shared" si="11"/>
        <v>16962.700734602204</v>
      </c>
      <c r="C178" s="1">
        <f t="shared" si="12"/>
        <v>7690.5204143644205</v>
      </c>
      <c r="D178" s="1">
        <f t="shared" si="13"/>
        <v>9272.1803202377832</v>
      </c>
      <c r="E178" s="1">
        <f t="shared" si="14"/>
        <v>1581826.1059121124</v>
      </c>
    </row>
    <row r="179" spans="1:5">
      <c r="A179">
        <f t="shared" ref="A179:A242" si="15">IF(($B$7*$B$8&gt;A178),IF(($B$7*$B$8)=A178,"",A178+1),"")</f>
        <v>166</v>
      </c>
      <c r="B179" s="1">
        <f t="shared" si="11"/>
        <v>16962.700734602204</v>
      </c>
      <c r="C179" s="1">
        <f t="shared" ref="C179:C242" si="16">IF(A179="","",B179-D179)</f>
        <v>7735.3817834482143</v>
      </c>
      <c r="D179" s="1">
        <f t="shared" ref="D179:D242" si="17">IF(A179="","",(E178*($B$6/$B$8)))</f>
        <v>9227.3189511539895</v>
      </c>
      <c r="E179" s="1">
        <f t="shared" ref="E179:E242" si="18">IF(A179="","",E178-C179)</f>
        <v>1574090.7241286642</v>
      </c>
    </row>
    <row r="180" spans="1:5">
      <c r="A180">
        <f t="shared" si="15"/>
        <v>167</v>
      </c>
      <c r="B180" s="1">
        <f t="shared" si="11"/>
        <v>16962.700734602204</v>
      </c>
      <c r="C180" s="1">
        <f t="shared" si="16"/>
        <v>7780.5048438516624</v>
      </c>
      <c r="D180" s="1">
        <f t="shared" si="17"/>
        <v>9182.1958907505414</v>
      </c>
      <c r="E180" s="1">
        <f t="shared" si="18"/>
        <v>1566310.2192848127</v>
      </c>
    </row>
    <row r="181" spans="1:5">
      <c r="A181">
        <f t="shared" si="15"/>
        <v>168</v>
      </c>
      <c r="B181" s="1">
        <f t="shared" si="11"/>
        <v>16962.700734602204</v>
      </c>
      <c r="C181" s="1">
        <f t="shared" si="16"/>
        <v>7825.8911221074632</v>
      </c>
      <c r="D181" s="1">
        <f t="shared" si="17"/>
        <v>9136.8096124947406</v>
      </c>
      <c r="E181" s="1">
        <f t="shared" si="18"/>
        <v>1558484.3281627053</v>
      </c>
    </row>
    <row r="182" spans="1:5">
      <c r="A182">
        <f t="shared" si="15"/>
        <v>169</v>
      </c>
      <c r="B182" s="1">
        <f t="shared" si="11"/>
        <v>16962.700734602204</v>
      </c>
      <c r="C182" s="1">
        <f t="shared" si="16"/>
        <v>7871.5421536530885</v>
      </c>
      <c r="D182" s="1">
        <f t="shared" si="17"/>
        <v>9091.1585809491153</v>
      </c>
      <c r="E182" s="1">
        <f t="shared" si="18"/>
        <v>1550612.7860090523</v>
      </c>
    </row>
    <row r="183" spans="1:5">
      <c r="A183">
        <f t="shared" si="15"/>
        <v>170</v>
      </c>
      <c r="B183" s="1">
        <f t="shared" si="11"/>
        <v>16962.700734602204</v>
      </c>
      <c r="C183" s="1">
        <f t="shared" si="16"/>
        <v>7917.4594828827321</v>
      </c>
      <c r="D183" s="1">
        <f t="shared" si="17"/>
        <v>9045.2412517194716</v>
      </c>
      <c r="E183" s="1">
        <f t="shared" si="18"/>
        <v>1542695.3265261697</v>
      </c>
    </row>
    <row r="184" spans="1:5">
      <c r="A184">
        <f t="shared" si="15"/>
        <v>171</v>
      </c>
      <c r="B184" s="1">
        <f t="shared" si="11"/>
        <v>16962.700734602204</v>
      </c>
      <c r="C184" s="1">
        <f t="shared" si="16"/>
        <v>7963.6446631995477</v>
      </c>
      <c r="D184" s="1">
        <f t="shared" si="17"/>
        <v>8999.056071402656</v>
      </c>
      <c r="E184" s="1">
        <f t="shared" si="18"/>
        <v>1534731.6818629701</v>
      </c>
    </row>
    <row r="185" spans="1:5">
      <c r="A185">
        <f t="shared" si="15"/>
        <v>172</v>
      </c>
      <c r="B185" s="1">
        <f t="shared" si="11"/>
        <v>16962.700734602204</v>
      </c>
      <c r="C185" s="1">
        <f t="shared" si="16"/>
        <v>8010.0992570682101</v>
      </c>
      <c r="D185" s="1">
        <f t="shared" si="17"/>
        <v>8952.6014775339936</v>
      </c>
      <c r="E185" s="1">
        <f t="shared" si="18"/>
        <v>1526721.5826059019</v>
      </c>
    </row>
    <row r="186" spans="1:5">
      <c r="A186">
        <f t="shared" si="15"/>
        <v>173</v>
      </c>
      <c r="B186" s="1">
        <f t="shared" si="11"/>
        <v>16962.700734602204</v>
      </c>
      <c r="C186" s="1">
        <f t="shared" si="16"/>
        <v>8056.8248360677753</v>
      </c>
      <c r="D186" s="1">
        <f t="shared" si="17"/>
        <v>8905.8758985344284</v>
      </c>
      <c r="E186" s="1">
        <f t="shared" si="18"/>
        <v>1518664.757769834</v>
      </c>
    </row>
    <row r="187" spans="1:5">
      <c r="A187">
        <f t="shared" si="15"/>
        <v>174</v>
      </c>
      <c r="B187" s="1">
        <f t="shared" si="11"/>
        <v>16962.700734602204</v>
      </c>
      <c r="C187" s="1">
        <f t="shared" si="16"/>
        <v>8103.8229809448385</v>
      </c>
      <c r="D187" s="1">
        <f t="shared" si="17"/>
        <v>8858.8777536573652</v>
      </c>
      <c r="E187" s="1">
        <f t="shared" si="18"/>
        <v>1510560.9347888893</v>
      </c>
    </row>
    <row r="188" spans="1:5">
      <c r="A188">
        <f t="shared" si="15"/>
        <v>175</v>
      </c>
      <c r="B188" s="1">
        <f t="shared" si="11"/>
        <v>16962.700734602204</v>
      </c>
      <c r="C188" s="1">
        <f t="shared" si="16"/>
        <v>8151.095281667016</v>
      </c>
      <c r="D188" s="1">
        <f t="shared" si="17"/>
        <v>8811.6054529351877</v>
      </c>
      <c r="E188" s="1">
        <f t="shared" si="18"/>
        <v>1502409.8395072222</v>
      </c>
    </row>
    <row r="189" spans="1:5">
      <c r="A189">
        <f t="shared" si="15"/>
        <v>176</v>
      </c>
      <c r="B189" s="1">
        <f t="shared" si="11"/>
        <v>16962.700734602204</v>
      </c>
      <c r="C189" s="1">
        <f t="shared" si="16"/>
        <v>8198.6433374767403</v>
      </c>
      <c r="D189" s="1">
        <f t="shared" si="17"/>
        <v>8764.0573971254635</v>
      </c>
      <c r="E189" s="1">
        <f t="shared" si="18"/>
        <v>1494211.1961697454</v>
      </c>
    </row>
    <row r="190" spans="1:5">
      <c r="A190">
        <f t="shared" si="15"/>
        <v>177</v>
      </c>
      <c r="B190" s="1">
        <f t="shared" si="11"/>
        <v>16962.700734602204</v>
      </c>
      <c r="C190" s="1">
        <f t="shared" si="16"/>
        <v>8246.4687569453545</v>
      </c>
      <c r="D190" s="1">
        <f t="shared" si="17"/>
        <v>8716.2319776568493</v>
      </c>
      <c r="E190" s="1">
        <f t="shared" si="18"/>
        <v>1485964.7274128001</v>
      </c>
    </row>
    <row r="191" spans="1:5">
      <c r="A191">
        <f t="shared" si="15"/>
        <v>178</v>
      </c>
      <c r="B191" s="1">
        <f t="shared" si="11"/>
        <v>16962.700734602204</v>
      </c>
      <c r="C191" s="1">
        <f t="shared" si="16"/>
        <v>8294.5731580275369</v>
      </c>
      <c r="D191" s="1">
        <f t="shared" si="17"/>
        <v>8668.1275765746668</v>
      </c>
      <c r="E191" s="1">
        <f t="shared" si="18"/>
        <v>1477670.1542547725</v>
      </c>
    </row>
    <row r="192" spans="1:5">
      <c r="A192">
        <f t="shared" si="15"/>
        <v>179</v>
      </c>
      <c r="B192" s="1">
        <f t="shared" si="11"/>
        <v>16962.700734602204</v>
      </c>
      <c r="C192" s="1">
        <f t="shared" si="16"/>
        <v>8342.9581681160307</v>
      </c>
      <c r="D192" s="1">
        <f t="shared" si="17"/>
        <v>8619.742566486173</v>
      </c>
      <c r="E192" s="1">
        <f t="shared" si="18"/>
        <v>1469327.1960866565</v>
      </c>
    </row>
    <row r="193" spans="1:5">
      <c r="A193">
        <f t="shared" si="15"/>
        <v>180</v>
      </c>
      <c r="B193" s="1">
        <f t="shared" si="11"/>
        <v>16962.700734602204</v>
      </c>
      <c r="C193" s="1">
        <f t="shared" si="16"/>
        <v>8391.6254240967064</v>
      </c>
      <c r="D193" s="1">
        <f t="shared" si="17"/>
        <v>8571.0753105054973</v>
      </c>
      <c r="E193" s="1">
        <f t="shared" si="18"/>
        <v>1460935.5706625599</v>
      </c>
    </row>
    <row r="194" spans="1:5">
      <c r="A194">
        <f t="shared" si="15"/>
        <v>181</v>
      </c>
      <c r="B194" s="1">
        <f t="shared" si="11"/>
        <v>16962.700734602204</v>
      </c>
      <c r="C194" s="1">
        <f t="shared" si="16"/>
        <v>8440.5765724039375</v>
      </c>
      <c r="D194" s="1">
        <f t="shared" si="17"/>
        <v>8522.1241621982663</v>
      </c>
      <c r="E194" s="1">
        <f t="shared" si="18"/>
        <v>1452494.9940901559</v>
      </c>
    </row>
    <row r="195" spans="1:5">
      <c r="A195">
        <f t="shared" si="15"/>
        <v>182</v>
      </c>
      <c r="B195" s="1">
        <f t="shared" si="11"/>
        <v>16962.700734602204</v>
      </c>
      <c r="C195" s="1">
        <f t="shared" si="16"/>
        <v>8489.8132690762941</v>
      </c>
      <c r="D195" s="1">
        <f t="shared" si="17"/>
        <v>8472.8874655259096</v>
      </c>
      <c r="E195" s="1">
        <f t="shared" si="18"/>
        <v>1444005.1808210795</v>
      </c>
    </row>
    <row r="196" spans="1:5">
      <c r="A196">
        <f t="shared" si="15"/>
        <v>183</v>
      </c>
      <c r="B196" s="1">
        <f t="shared" si="11"/>
        <v>16962.700734602204</v>
      </c>
      <c r="C196" s="1">
        <f t="shared" si="16"/>
        <v>8539.3371798125736</v>
      </c>
      <c r="D196" s="1">
        <f t="shared" si="17"/>
        <v>8423.3635547896301</v>
      </c>
      <c r="E196" s="1">
        <f t="shared" si="18"/>
        <v>1435465.8436412669</v>
      </c>
    </row>
    <row r="197" spans="1:5">
      <c r="A197">
        <f t="shared" si="15"/>
        <v>184</v>
      </c>
      <c r="B197" s="1">
        <f t="shared" si="11"/>
        <v>16962.700734602204</v>
      </c>
      <c r="C197" s="1">
        <f t="shared" si="16"/>
        <v>8589.1499800281472</v>
      </c>
      <c r="D197" s="1">
        <f t="shared" si="17"/>
        <v>8373.5507545740566</v>
      </c>
      <c r="E197" s="1">
        <f t="shared" si="18"/>
        <v>1426876.6936612388</v>
      </c>
    </row>
    <row r="198" spans="1:5">
      <c r="A198">
        <f t="shared" si="15"/>
        <v>185</v>
      </c>
      <c r="B198" s="1">
        <f t="shared" si="11"/>
        <v>16962.700734602204</v>
      </c>
      <c r="C198" s="1">
        <f t="shared" si="16"/>
        <v>8639.2533549116433</v>
      </c>
      <c r="D198" s="1">
        <f t="shared" si="17"/>
        <v>8323.4473796905604</v>
      </c>
      <c r="E198" s="1">
        <f t="shared" si="18"/>
        <v>1418237.4403063271</v>
      </c>
    </row>
    <row r="199" spans="1:5">
      <c r="A199">
        <f t="shared" si="15"/>
        <v>186</v>
      </c>
      <c r="B199" s="1">
        <f t="shared" si="11"/>
        <v>16962.700734602204</v>
      </c>
      <c r="C199" s="1">
        <f t="shared" si="16"/>
        <v>8689.6489994819622</v>
      </c>
      <c r="D199" s="1">
        <f t="shared" si="17"/>
        <v>8273.0517351202416</v>
      </c>
      <c r="E199" s="1">
        <f t="shared" si="18"/>
        <v>1409547.7913068451</v>
      </c>
    </row>
    <row r="200" spans="1:5">
      <c r="A200">
        <f t="shared" si="15"/>
        <v>187</v>
      </c>
      <c r="B200" s="1">
        <f t="shared" si="11"/>
        <v>16962.700734602204</v>
      </c>
      <c r="C200" s="1">
        <f t="shared" si="16"/>
        <v>8740.3386186456064</v>
      </c>
      <c r="D200" s="1">
        <f t="shared" si="17"/>
        <v>8222.3621159565973</v>
      </c>
      <c r="E200" s="1">
        <f t="shared" si="18"/>
        <v>1400807.4526881995</v>
      </c>
    </row>
    <row r="201" spans="1:5">
      <c r="A201">
        <f t="shared" si="15"/>
        <v>188</v>
      </c>
      <c r="B201" s="1">
        <f t="shared" si="11"/>
        <v>16962.700734602204</v>
      </c>
      <c r="C201" s="1">
        <f t="shared" si="16"/>
        <v>8791.3239272543724</v>
      </c>
      <c r="D201" s="1">
        <f t="shared" si="17"/>
        <v>8171.3768073478304</v>
      </c>
      <c r="E201" s="1">
        <f t="shared" si="18"/>
        <v>1392016.1287609451</v>
      </c>
    </row>
    <row r="202" spans="1:5">
      <c r="A202">
        <f t="shared" si="15"/>
        <v>189</v>
      </c>
      <c r="B202" s="1">
        <f t="shared" si="11"/>
        <v>16962.700734602204</v>
      </c>
      <c r="C202" s="1">
        <f t="shared" si="16"/>
        <v>8842.6066501633577</v>
      </c>
      <c r="D202" s="1">
        <f t="shared" si="17"/>
        <v>8120.0940844388469</v>
      </c>
      <c r="E202" s="1">
        <f t="shared" si="18"/>
        <v>1383173.5221107816</v>
      </c>
    </row>
    <row r="203" spans="1:5">
      <c r="A203">
        <f t="shared" si="15"/>
        <v>190</v>
      </c>
      <c r="B203" s="1">
        <f t="shared" si="11"/>
        <v>16962.700734602204</v>
      </c>
      <c r="C203" s="1">
        <f t="shared" si="16"/>
        <v>8894.1885222893106</v>
      </c>
      <c r="D203" s="1">
        <f t="shared" si="17"/>
        <v>8068.5122123128931</v>
      </c>
      <c r="E203" s="1">
        <f t="shared" si="18"/>
        <v>1374279.3335884924</v>
      </c>
    </row>
    <row r="204" spans="1:5">
      <c r="A204">
        <f t="shared" si="15"/>
        <v>191</v>
      </c>
      <c r="B204" s="1">
        <f t="shared" si="11"/>
        <v>16962.700734602204</v>
      </c>
      <c r="C204" s="1">
        <f t="shared" si="16"/>
        <v>8946.0712886693309</v>
      </c>
      <c r="D204" s="1">
        <f t="shared" si="17"/>
        <v>8016.6294459328728</v>
      </c>
      <c r="E204" s="1">
        <f t="shared" si="18"/>
        <v>1365333.2622998231</v>
      </c>
    </row>
    <row r="205" spans="1:5">
      <c r="A205">
        <f t="shared" si="15"/>
        <v>192</v>
      </c>
      <c r="B205" s="1">
        <f t="shared" si="11"/>
        <v>16962.700734602204</v>
      </c>
      <c r="C205" s="1">
        <f t="shared" si="16"/>
        <v>8998.256704519903</v>
      </c>
      <c r="D205" s="1">
        <f t="shared" si="17"/>
        <v>7964.4440300823017</v>
      </c>
      <c r="E205" s="1">
        <f t="shared" si="18"/>
        <v>1356335.0055953031</v>
      </c>
    </row>
    <row r="206" spans="1:5">
      <c r="A206">
        <f t="shared" si="15"/>
        <v>193</v>
      </c>
      <c r="B206" s="1">
        <f t="shared" si="11"/>
        <v>16962.700734602204</v>
      </c>
      <c r="C206" s="1">
        <f t="shared" si="16"/>
        <v>9050.7465352962681</v>
      </c>
      <c r="D206" s="1">
        <f t="shared" si="17"/>
        <v>7911.9541993059356</v>
      </c>
      <c r="E206" s="1">
        <f t="shared" si="18"/>
        <v>1347284.2590600068</v>
      </c>
    </row>
    <row r="207" spans="1:5">
      <c r="A207">
        <f t="shared" si="15"/>
        <v>194</v>
      </c>
      <c r="B207" s="1">
        <f t="shared" si="11"/>
        <v>16962.700734602204</v>
      </c>
      <c r="C207" s="1">
        <f t="shared" si="16"/>
        <v>9103.5425567521634</v>
      </c>
      <c r="D207" s="1">
        <f t="shared" si="17"/>
        <v>7859.1581778500404</v>
      </c>
      <c r="E207" s="1">
        <f t="shared" si="18"/>
        <v>1338180.7165032546</v>
      </c>
    </row>
    <row r="208" spans="1:5">
      <c r="A208">
        <f t="shared" si="15"/>
        <v>195</v>
      </c>
      <c r="B208" s="1">
        <f t="shared" ref="B208:B271" si="19">IF(A208="","",$B$14)</f>
        <v>16962.700734602204</v>
      </c>
      <c r="C208" s="1">
        <f t="shared" si="16"/>
        <v>9156.6465549998848</v>
      </c>
      <c r="D208" s="1">
        <f t="shared" si="17"/>
        <v>7806.054179602319</v>
      </c>
      <c r="E208" s="1">
        <f t="shared" si="18"/>
        <v>1329024.0699482546</v>
      </c>
    </row>
    <row r="209" spans="1:5">
      <c r="A209">
        <f t="shared" si="15"/>
        <v>196</v>
      </c>
      <c r="B209" s="1">
        <f t="shared" si="19"/>
        <v>16962.700734602204</v>
      </c>
      <c r="C209" s="1">
        <f t="shared" si="16"/>
        <v>9210.0603265707177</v>
      </c>
      <c r="D209" s="1">
        <f t="shared" si="17"/>
        <v>7752.640408031486</v>
      </c>
      <c r="E209" s="1">
        <f t="shared" si="18"/>
        <v>1319814.009621684</v>
      </c>
    </row>
    <row r="210" spans="1:5">
      <c r="A210">
        <f t="shared" si="15"/>
        <v>197</v>
      </c>
      <c r="B210" s="1">
        <f t="shared" si="19"/>
        <v>16962.700734602204</v>
      </c>
      <c r="C210" s="1">
        <f t="shared" si="16"/>
        <v>9263.7856784757132</v>
      </c>
      <c r="D210" s="1">
        <f t="shared" si="17"/>
        <v>7698.9150561264905</v>
      </c>
      <c r="E210" s="1">
        <f t="shared" si="18"/>
        <v>1310550.2239432083</v>
      </c>
    </row>
    <row r="211" spans="1:5">
      <c r="A211">
        <f t="shared" si="15"/>
        <v>198</v>
      </c>
      <c r="B211" s="1">
        <f t="shared" si="19"/>
        <v>16962.700734602204</v>
      </c>
      <c r="C211" s="1">
        <f t="shared" si="16"/>
        <v>9317.8244282668202</v>
      </c>
      <c r="D211" s="1">
        <f t="shared" si="17"/>
        <v>7644.8763063353827</v>
      </c>
      <c r="E211" s="1">
        <f t="shared" si="18"/>
        <v>1301232.3995149415</v>
      </c>
    </row>
    <row r="212" spans="1:5">
      <c r="A212">
        <f t="shared" si="15"/>
        <v>199</v>
      </c>
      <c r="B212" s="1">
        <f t="shared" si="19"/>
        <v>16962.700734602204</v>
      </c>
      <c r="C212" s="1">
        <f t="shared" si="16"/>
        <v>9372.1784040983766</v>
      </c>
      <c r="D212" s="1">
        <f t="shared" si="17"/>
        <v>7590.5223305038262</v>
      </c>
      <c r="E212" s="1">
        <f t="shared" si="18"/>
        <v>1291860.2211108431</v>
      </c>
    </row>
    <row r="213" spans="1:5">
      <c r="A213">
        <f t="shared" si="15"/>
        <v>200</v>
      </c>
      <c r="B213" s="1">
        <f t="shared" si="19"/>
        <v>16962.700734602204</v>
      </c>
      <c r="C213" s="1">
        <f t="shared" si="16"/>
        <v>9426.8494447889516</v>
      </c>
      <c r="D213" s="1">
        <f t="shared" si="17"/>
        <v>7535.8512898132522</v>
      </c>
      <c r="E213" s="1">
        <f t="shared" si="18"/>
        <v>1282433.3716660542</v>
      </c>
    </row>
    <row r="214" spans="1:5">
      <c r="A214">
        <f t="shared" si="15"/>
        <v>201</v>
      </c>
      <c r="B214" s="1">
        <f t="shared" si="19"/>
        <v>16962.700734602204</v>
      </c>
      <c r="C214" s="1">
        <f t="shared" si="16"/>
        <v>9481.8393998835527</v>
      </c>
      <c r="D214" s="1">
        <f t="shared" si="17"/>
        <v>7480.8613347186501</v>
      </c>
      <c r="E214" s="1">
        <f t="shared" si="18"/>
        <v>1272951.5322661707</v>
      </c>
    </row>
    <row r="215" spans="1:5">
      <c r="A215">
        <f t="shared" si="15"/>
        <v>202</v>
      </c>
      <c r="B215" s="1">
        <f t="shared" si="19"/>
        <v>16962.700734602204</v>
      </c>
      <c r="C215" s="1">
        <f t="shared" si="16"/>
        <v>9537.1501297162067</v>
      </c>
      <c r="D215" s="1">
        <f t="shared" si="17"/>
        <v>7425.5506048859961</v>
      </c>
      <c r="E215" s="1">
        <f t="shared" si="18"/>
        <v>1263414.3821364546</v>
      </c>
    </row>
    <row r="216" spans="1:5">
      <c r="A216">
        <f t="shared" si="15"/>
        <v>203</v>
      </c>
      <c r="B216" s="1">
        <f t="shared" si="19"/>
        <v>16962.700734602204</v>
      </c>
      <c r="C216" s="1">
        <f t="shared" si="16"/>
        <v>9592.7835054728857</v>
      </c>
      <c r="D216" s="1">
        <f t="shared" si="17"/>
        <v>7369.9172291293189</v>
      </c>
      <c r="E216" s="1">
        <f t="shared" si="18"/>
        <v>1253821.5986309818</v>
      </c>
    </row>
    <row r="217" spans="1:5">
      <c r="A217">
        <f t="shared" si="15"/>
        <v>204</v>
      </c>
      <c r="B217" s="1">
        <f t="shared" si="19"/>
        <v>16962.700734602204</v>
      </c>
      <c r="C217" s="1">
        <f t="shared" si="16"/>
        <v>9648.7414092548097</v>
      </c>
      <c r="D217" s="1">
        <f t="shared" si="17"/>
        <v>7313.959325347394</v>
      </c>
      <c r="E217" s="1">
        <f t="shared" si="18"/>
        <v>1244172.857221727</v>
      </c>
    </row>
    <row r="218" spans="1:5">
      <c r="A218">
        <f t="shared" si="15"/>
        <v>205</v>
      </c>
      <c r="B218" s="1">
        <f t="shared" si="19"/>
        <v>16962.700734602204</v>
      </c>
      <c r="C218" s="1">
        <f t="shared" si="16"/>
        <v>9705.0257341421293</v>
      </c>
      <c r="D218" s="1">
        <f t="shared" si="17"/>
        <v>7257.6750004600744</v>
      </c>
      <c r="E218" s="1">
        <f t="shared" si="18"/>
        <v>1234467.8314875849</v>
      </c>
    </row>
    <row r="219" spans="1:5">
      <c r="A219">
        <f t="shared" si="15"/>
        <v>206</v>
      </c>
      <c r="B219" s="1">
        <f t="shared" si="19"/>
        <v>16962.700734602204</v>
      </c>
      <c r="C219" s="1">
        <f t="shared" si="16"/>
        <v>9761.638384257958</v>
      </c>
      <c r="D219" s="1">
        <f t="shared" si="17"/>
        <v>7201.0623503442457</v>
      </c>
      <c r="E219" s="1">
        <f t="shared" si="18"/>
        <v>1224706.193103327</v>
      </c>
    </row>
    <row r="220" spans="1:5">
      <c r="A220">
        <f t="shared" si="15"/>
        <v>207</v>
      </c>
      <c r="B220" s="1">
        <f t="shared" si="19"/>
        <v>16962.700734602204</v>
      </c>
      <c r="C220" s="1">
        <f t="shared" si="16"/>
        <v>9818.5812748327953</v>
      </c>
      <c r="D220" s="1">
        <f t="shared" si="17"/>
        <v>7144.1194597694075</v>
      </c>
      <c r="E220" s="1">
        <f t="shared" si="18"/>
        <v>1214887.6118284941</v>
      </c>
    </row>
    <row r="221" spans="1:5">
      <c r="A221">
        <f t="shared" si="15"/>
        <v>208</v>
      </c>
      <c r="B221" s="1">
        <f t="shared" si="19"/>
        <v>16962.700734602204</v>
      </c>
      <c r="C221" s="1">
        <f t="shared" si="16"/>
        <v>9875.8563322693208</v>
      </c>
      <c r="D221" s="1">
        <f t="shared" si="17"/>
        <v>7086.844402332883</v>
      </c>
      <c r="E221" s="1">
        <f t="shared" si="18"/>
        <v>1205011.7554962249</v>
      </c>
    </row>
    <row r="222" spans="1:5">
      <c r="A222">
        <f t="shared" si="15"/>
        <v>209</v>
      </c>
      <c r="B222" s="1">
        <f t="shared" si="19"/>
        <v>16962.700734602204</v>
      </c>
      <c r="C222" s="1">
        <f t="shared" si="16"/>
        <v>9933.4654942075576</v>
      </c>
      <c r="D222" s="1">
        <f t="shared" si="17"/>
        <v>7029.2352403946452</v>
      </c>
      <c r="E222" s="1">
        <f t="shared" si="18"/>
        <v>1195078.2900020173</v>
      </c>
    </row>
    <row r="223" spans="1:5">
      <c r="A223">
        <f t="shared" si="15"/>
        <v>210</v>
      </c>
      <c r="B223" s="1">
        <f t="shared" si="19"/>
        <v>16962.700734602204</v>
      </c>
      <c r="C223" s="1">
        <f t="shared" si="16"/>
        <v>9991.4107095904365</v>
      </c>
      <c r="D223" s="1">
        <f t="shared" si="17"/>
        <v>6971.2900250117682</v>
      </c>
      <c r="E223" s="1">
        <f t="shared" si="18"/>
        <v>1185086.8792924269</v>
      </c>
    </row>
    <row r="224" spans="1:5">
      <c r="A224">
        <f t="shared" si="15"/>
        <v>211</v>
      </c>
      <c r="B224" s="1">
        <f t="shared" si="19"/>
        <v>16962.700734602204</v>
      </c>
      <c r="C224" s="1">
        <f t="shared" si="16"/>
        <v>10049.693938729713</v>
      </c>
      <c r="D224" s="1">
        <f t="shared" si="17"/>
        <v>6913.0067958724903</v>
      </c>
      <c r="E224" s="1">
        <f t="shared" si="18"/>
        <v>1175037.185353697</v>
      </c>
    </row>
    <row r="225" spans="1:5">
      <c r="A225">
        <f t="shared" si="15"/>
        <v>212</v>
      </c>
      <c r="B225" s="1">
        <f t="shared" si="19"/>
        <v>16962.700734602204</v>
      </c>
      <c r="C225" s="1">
        <f t="shared" si="16"/>
        <v>10108.317153372303</v>
      </c>
      <c r="D225" s="1">
        <f t="shared" si="17"/>
        <v>6854.3835812298994</v>
      </c>
      <c r="E225" s="1">
        <f t="shared" si="18"/>
        <v>1164928.8682003247</v>
      </c>
    </row>
    <row r="226" spans="1:5">
      <c r="A226">
        <f t="shared" si="15"/>
        <v>213</v>
      </c>
      <c r="B226" s="1">
        <f t="shared" si="19"/>
        <v>16962.700734602204</v>
      </c>
      <c r="C226" s="1">
        <f t="shared" si="16"/>
        <v>10167.282336766977</v>
      </c>
      <c r="D226" s="1">
        <f t="shared" si="17"/>
        <v>6795.4183978352276</v>
      </c>
      <c r="E226" s="1">
        <f t="shared" si="18"/>
        <v>1154761.5858635576</v>
      </c>
    </row>
    <row r="227" spans="1:5">
      <c r="A227">
        <f t="shared" si="15"/>
        <v>214</v>
      </c>
      <c r="B227" s="1">
        <f t="shared" si="19"/>
        <v>16962.700734602204</v>
      </c>
      <c r="C227" s="1">
        <f t="shared" si="16"/>
        <v>10226.59148373145</v>
      </c>
      <c r="D227" s="1">
        <f t="shared" si="17"/>
        <v>6736.1092508707534</v>
      </c>
      <c r="E227" s="1">
        <f t="shared" si="18"/>
        <v>1144534.9943798261</v>
      </c>
    </row>
    <row r="228" spans="1:5">
      <c r="A228">
        <f t="shared" si="15"/>
        <v>215</v>
      </c>
      <c r="B228" s="1">
        <f t="shared" si="19"/>
        <v>16962.700734602204</v>
      </c>
      <c r="C228" s="1">
        <f t="shared" si="16"/>
        <v>10286.246600719885</v>
      </c>
      <c r="D228" s="1">
        <f t="shared" si="17"/>
        <v>6676.4541338823192</v>
      </c>
      <c r="E228" s="1">
        <f t="shared" si="18"/>
        <v>1134248.7477791063</v>
      </c>
    </row>
    <row r="229" spans="1:5">
      <c r="A229">
        <f t="shared" si="15"/>
        <v>216</v>
      </c>
      <c r="B229" s="1">
        <f t="shared" si="19"/>
        <v>16962.700734602204</v>
      </c>
      <c r="C229" s="1">
        <f t="shared" si="16"/>
        <v>10346.24970589075</v>
      </c>
      <c r="D229" s="1">
        <f t="shared" si="17"/>
        <v>6616.4510287114535</v>
      </c>
      <c r="E229" s="1">
        <f t="shared" si="18"/>
        <v>1123902.4980732156</v>
      </c>
    </row>
    <row r="230" spans="1:5">
      <c r="A230">
        <f t="shared" si="15"/>
        <v>217</v>
      </c>
      <c r="B230" s="1">
        <f t="shared" si="19"/>
        <v>16962.700734602204</v>
      </c>
      <c r="C230" s="1">
        <f t="shared" si="16"/>
        <v>10406.602829175114</v>
      </c>
      <c r="D230" s="1">
        <f t="shared" si="17"/>
        <v>6556.0979054270911</v>
      </c>
      <c r="E230" s="1">
        <f t="shared" si="18"/>
        <v>1113495.8952440405</v>
      </c>
    </row>
    <row r="231" spans="1:5">
      <c r="A231">
        <f t="shared" si="15"/>
        <v>218</v>
      </c>
      <c r="B231" s="1">
        <f t="shared" si="19"/>
        <v>16962.700734602204</v>
      </c>
      <c r="C231" s="1">
        <f t="shared" si="16"/>
        <v>10467.3080123453</v>
      </c>
      <c r="D231" s="1">
        <f t="shared" si="17"/>
        <v>6495.3927222569037</v>
      </c>
      <c r="E231" s="1">
        <f t="shared" si="18"/>
        <v>1103028.5872316952</v>
      </c>
    </row>
    <row r="232" spans="1:5">
      <c r="A232">
        <f t="shared" si="15"/>
        <v>219</v>
      </c>
      <c r="B232" s="1">
        <f t="shared" si="19"/>
        <v>16962.700734602204</v>
      </c>
      <c r="C232" s="1">
        <f t="shared" si="16"/>
        <v>10528.36730908398</v>
      </c>
      <c r="D232" s="1">
        <f t="shared" si="17"/>
        <v>6434.3334255182226</v>
      </c>
      <c r="E232" s="1">
        <f t="shared" si="18"/>
        <v>1092500.2199226113</v>
      </c>
    </row>
    <row r="233" spans="1:5">
      <c r="A233">
        <f t="shared" si="15"/>
        <v>220</v>
      </c>
      <c r="B233" s="1">
        <f t="shared" si="19"/>
        <v>16962.700734602204</v>
      </c>
      <c r="C233" s="1">
        <f t="shared" si="16"/>
        <v>10589.782785053638</v>
      </c>
      <c r="D233" s="1">
        <f t="shared" si="17"/>
        <v>6372.917949548566</v>
      </c>
      <c r="E233" s="1">
        <f t="shared" si="18"/>
        <v>1081910.4371375577</v>
      </c>
    </row>
    <row r="234" spans="1:5">
      <c r="A234">
        <f t="shared" si="15"/>
        <v>221</v>
      </c>
      <c r="B234" s="1">
        <f t="shared" si="19"/>
        <v>16962.700734602204</v>
      </c>
      <c r="C234" s="1">
        <f t="shared" si="16"/>
        <v>10651.556517966452</v>
      </c>
      <c r="D234" s="1">
        <f t="shared" si="17"/>
        <v>6311.1442166357529</v>
      </c>
      <c r="E234" s="1">
        <f t="shared" si="18"/>
        <v>1071258.8806195911</v>
      </c>
    </row>
    <row r="235" spans="1:5">
      <c r="A235">
        <f t="shared" si="15"/>
        <v>222</v>
      </c>
      <c r="B235" s="1">
        <f t="shared" si="19"/>
        <v>16962.700734602204</v>
      </c>
      <c r="C235" s="1">
        <f t="shared" si="16"/>
        <v>10713.69059765459</v>
      </c>
      <c r="D235" s="1">
        <f t="shared" si="17"/>
        <v>6249.0101369476151</v>
      </c>
      <c r="E235" s="1">
        <f t="shared" si="18"/>
        <v>1060545.1900219365</v>
      </c>
    </row>
    <row r="236" spans="1:5">
      <c r="A236">
        <f t="shared" si="15"/>
        <v>223</v>
      </c>
      <c r="B236" s="1">
        <f t="shared" si="19"/>
        <v>16962.700734602204</v>
      </c>
      <c r="C236" s="1">
        <f t="shared" si="16"/>
        <v>10776.187126140907</v>
      </c>
      <c r="D236" s="1">
        <f t="shared" si="17"/>
        <v>6186.5136084612968</v>
      </c>
      <c r="E236" s="1">
        <f t="shared" si="18"/>
        <v>1049769.0028957957</v>
      </c>
    </row>
    <row r="237" spans="1:5">
      <c r="A237">
        <f t="shared" si="15"/>
        <v>224</v>
      </c>
      <c r="B237" s="1">
        <f t="shared" si="19"/>
        <v>16962.700734602204</v>
      </c>
      <c r="C237" s="1">
        <f t="shared" si="16"/>
        <v>10839.048217710062</v>
      </c>
      <c r="D237" s="1">
        <f t="shared" si="17"/>
        <v>6123.6525168921416</v>
      </c>
      <c r="E237" s="1">
        <f t="shared" si="18"/>
        <v>1038929.9546780856</v>
      </c>
    </row>
    <row r="238" spans="1:5">
      <c r="A238">
        <f t="shared" si="15"/>
        <v>225</v>
      </c>
      <c r="B238" s="1">
        <f t="shared" si="19"/>
        <v>16962.700734602204</v>
      </c>
      <c r="C238" s="1">
        <f t="shared" si="16"/>
        <v>10902.275998980036</v>
      </c>
      <c r="D238" s="1">
        <f t="shared" si="17"/>
        <v>6060.4247356221667</v>
      </c>
      <c r="E238" s="1">
        <f t="shared" si="18"/>
        <v>1028027.6786791056</v>
      </c>
    </row>
    <row r="239" spans="1:5">
      <c r="A239">
        <f t="shared" si="15"/>
        <v>226</v>
      </c>
      <c r="B239" s="1">
        <f t="shared" si="19"/>
        <v>16962.700734602204</v>
      </c>
      <c r="C239" s="1">
        <f t="shared" si="16"/>
        <v>10965.872608974089</v>
      </c>
      <c r="D239" s="1">
        <f t="shared" si="17"/>
        <v>5996.8281256281161</v>
      </c>
      <c r="E239" s="1">
        <f t="shared" si="18"/>
        <v>1017061.8060701315</v>
      </c>
    </row>
    <row r="240" spans="1:5">
      <c r="A240">
        <f t="shared" si="15"/>
        <v>227</v>
      </c>
      <c r="B240" s="1">
        <f t="shared" si="19"/>
        <v>16962.700734602204</v>
      </c>
      <c r="C240" s="1">
        <f t="shared" si="16"/>
        <v>11029.840199193102</v>
      </c>
      <c r="D240" s="1">
        <f t="shared" si="17"/>
        <v>5932.8605354091005</v>
      </c>
      <c r="E240" s="1">
        <f t="shared" si="18"/>
        <v>1006031.9658709384</v>
      </c>
    </row>
    <row r="241" spans="1:5">
      <c r="A241">
        <f t="shared" si="15"/>
        <v>228</v>
      </c>
      <c r="B241" s="1">
        <f t="shared" si="19"/>
        <v>16962.700734602204</v>
      </c>
      <c r="C241" s="1">
        <f t="shared" si="16"/>
        <v>11094.180933688396</v>
      </c>
      <c r="D241" s="1">
        <f t="shared" si="17"/>
        <v>5868.5198009138076</v>
      </c>
      <c r="E241" s="1">
        <f t="shared" si="18"/>
        <v>994937.78493724996</v>
      </c>
    </row>
    <row r="242" spans="1:5">
      <c r="A242">
        <f t="shared" si="15"/>
        <v>229</v>
      </c>
      <c r="B242" s="1">
        <f t="shared" si="19"/>
        <v>16962.700734602204</v>
      </c>
      <c r="C242" s="1">
        <f t="shared" si="16"/>
        <v>11158.896989134912</v>
      </c>
      <c r="D242" s="1">
        <f t="shared" si="17"/>
        <v>5803.8037454672913</v>
      </c>
      <c r="E242" s="1">
        <f t="shared" si="18"/>
        <v>983778.88794811501</v>
      </c>
    </row>
    <row r="243" spans="1:5">
      <c r="A243">
        <f t="shared" ref="A243:A263" si="20">IF(($B$7*$B$8&gt;A242),IF(($B$7*$B$8)=A242,"",A242+1),"")</f>
        <v>230</v>
      </c>
      <c r="B243" s="1">
        <f t="shared" si="19"/>
        <v>16962.700734602204</v>
      </c>
      <c r="C243" s="1">
        <f t="shared" ref="C243:C263" si="21">IF(A243="","",B243-D243)</f>
        <v>11223.990554904867</v>
      </c>
      <c r="D243" s="1">
        <f t="shared" ref="D243:D263" si="22">IF(A243="","",(E242*($B$6/$B$8)))</f>
        <v>5738.7101796973375</v>
      </c>
      <c r="E243" s="1">
        <f t="shared" ref="E243:E263" si="23">IF(A243="","",E242-C243)</f>
        <v>972554.89739321009</v>
      </c>
    </row>
    <row r="244" spans="1:5">
      <c r="A244">
        <f t="shared" si="20"/>
        <v>231</v>
      </c>
      <c r="B244" s="1">
        <f t="shared" si="19"/>
        <v>16962.700734602204</v>
      </c>
      <c r="C244" s="1">
        <f t="shared" si="21"/>
        <v>11289.46383314181</v>
      </c>
      <c r="D244" s="1">
        <f t="shared" si="22"/>
        <v>5673.2369014603928</v>
      </c>
      <c r="E244" s="1">
        <f t="shared" si="23"/>
        <v>961265.43356006825</v>
      </c>
    </row>
    <row r="245" spans="1:5">
      <c r="A245">
        <f t="shared" si="20"/>
        <v>232</v>
      </c>
      <c r="B245" s="1">
        <f t="shared" si="19"/>
        <v>16962.700734602204</v>
      </c>
      <c r="C245" s="1">
        <f t="shared" si="21"/>
        <v>11355.31903883514</v>
      </c>
      <c r="D245" s="1">
        <f t="shared" si="22"/>
        <v>5607.3816957670651</v>
      </c>
      <c r="E245" s="1">
        <f t="shared" si="23"/>
        <v>949910.11452123313</v>
      </c>
    </row>
    <row r="246" spans="1:5">
      <c r="A246">
        <f t="shared" si="20"/>
        <v>233</v>
      </c>
      <c r="B246" s="1">
        <f t="shared" si="19"/>
        <v>16962.700734602204</v>
      </c>
      <c r="C246" s="1">
        <f t="shared" si="21"/>
        <v>11421.55839989501</v>
      </c>
      <c r="D246" s="1">
        <f t="shared" si="22"/>
        <v>5541.1423347071932</v>
      </c>
      <c r="E246" s="1">
        <f t="shared" si="23"/>
        <v>938488.55612133816</v>
      </c>
    </row>
    <row r="247" spans="1:5">
      <c r="A247">
        <f t="shared" si="20"/>
        <v>234</v>
      </c>
      <c r="B247" s="1">
        <f t="shared" si="19"/>
        <v>16962.700734602204</v>
      </c>
      <c r="C247" s="1">
        <f t="shared" si="21"/>
        <v>11488.18415722773</v>
      </c>
      <c r="D247" s="1">
        <f t="shared" si="22"/>
        <v>5474.5165773744729</v>
      </c>
      <c r="E247" s="1">
        <f t="shared" si="23"/>
        <v>927000.37196411041</v>
      </c>
    </row>
    <row r="248" spans="1:5">
      <c r="A248">
        <f t="shared" si="20"/>
        <v>235</v>
      </c>
      <c r="B248" s="1">
        <f t="shared" si="19"/>
        <v>16962.700734602204</v>
      </c>
      <c r="C248" s="1">
        <f t="shared" si="21"/>
        <v>11555.198564811559</v>
      </c>
      <c r="D248" s="1">
        <f t="shared" si="22"/>
        <v>5407.5021697906441</v>
      </c>
      <c r="E248" s="1">
        <f t="shared" si="23"/>
        <v>915445.1733992988</v>
      </c>
    </row>
    <row r="249" spans="1:5">
      <c r="A249">
        <f t="shared" si="20"/>
        <v>236</v>
      </c>
      <c r="B249" s="1">
        <f t="shared" si="19"/>
        <v>16962.700734602204</v>
      </c>
      <c r="C249" s="1">
        <f t="shared" si="21"/>
        <v>11622.60388977296</v>
      </c>
      <c r="D249" s="1">
        <f t="shared" si="22"/>
        <v>5340.0968448292433</v>
      </c>
      <c r="E249" s="1">
        <f t="shared" si="23"/>
        <v>903822.56950952578</v>
      </c>
    </row>
    <row r="250" spans="1:5">
      <c r="A250">
        <f t="shared" si="20"/>
        <v>237</v>
      </c>
      <c r="B250" s="1">
        <f t="shared" si="19"/>
        <v>16962.700734602204</v>
      </c>
      <c r="C250" s="1">
        <f t="shared" si="21"/>
        <v>11690.402412463303</v>
      </c>
      <c r="D250" s="1">
        <f t="shared" si="22"/>
        <v>5272.2983221389004</v>
      </c>
      <c r="E250" s="1">
        <f t="shared" si="23"/>
        <v>892132.16709706245</v>
      </c>
    </row>
    <row r="251" spans="1:5">
      <c r="A251">
        <f t="shared" si="20"/>
        <v>238</v>
      </c>
      <c r="B251" s="1">
        <f t="shared" si="19"/>
        <v>16962.700734602204</v>
      </c>
      <c r="C251" s="1">
        <f t="shared" si="21"/>
        <v>11758.596426536005</v>
      </c>
      <c r="D251" s="1">
        <f t="shared" si="22"/>
        <v>5204.1043080661975</v>
      </c>
      <c r="E251" s="1">
        <f t="shared" si="23"/>
        <v>880373.57067052647</v>
      </c>
    </row>
    <row r="252" spans="1:5">
      <c r="A252">
        <f t="shared" si="20"/>
        <v>239</v>
      </c>
      <c r="B252" s="1">
        <f t="shared" si="19"/>
        <v>16962.700734602204</v>
      </c>
      <c r="C252" s="1">
        <f t="shared" si="21"/>
        <v>11827.188239024134</v>
      </c>
      <c r="D252" s="1">
        <f t="shared" si="22"/>
        <v>5135.5124955780711</v>
      </c>
      <c r="E252" s="1">
        <f t="shared" si="23"/>
        <v>868546.38243150234</v>
      </c>
    </row>
    <row r="253" spans="1:5">
      <c r="A253">
        <f t="shared" si="20"/>
        <v>240</v>
      </c>
      <c r="B253" s="1">
        <f t="shared" si="19"/>
        <v>16962.700734602204</v>
      </c>
      <c r="C253" s="1">
        <f t="shared" si="21"/>
        <v>11896.18017041844</v>
      </c>
      <c r="D253" s="1">
        <f t="shared" si="22"/>
        <v>5066.5205641837638</v>
      </c>
      <c r="E253" s="1">
        <f t="shared" si="23"/>
        <v>856650.20226108388</v>
      </c>
    </row>
    <row r="254" spans="1:5">
      <c r="A254">
        <f t="shared" si="20"/>
        <v>241</v>
      </c>
      <c r="B254" s="1">
        <f t="shared" si="19"/>
        <v>16962.700734602204</v>
      </c>
      <c r="C254" s="1">
        <f t="shared" si="21"/>
        <v>11965.574554745881</v>
      </c>
      <c r="D254" s="1">
        <f t="shared" si="22"/>
        <v>4997.1261798563228</v>
      </c>
      <c r="E254" s="1">
        <f t="shared" si="23"/>
        <v>844684.62770633795</v>
      </c>
    </row>
    <row r="255" spans="1:5">
      <c r="A255">
        <f t="shared" si="20"/>
        <v>242</v>
      </c>
      <c r="B255" s="1">
        <f t="shared" si="19"/>
        <v>16962.700734602204</v>
      </c>
      <c r="C255" s="1">
        <f t="shared" si="21"/>
        <v>12035.373739648567</v>
      </c>
      <c r="D255" s="1">
        <f t="shared" si="22"/>
        <v>4927.3269949536379</v>
      </c>
      <c r="E255" s="1">
        <f t="shared" si="23"/>
        <v>832649.25396668934</v>
      </c>
    </row>
    <row r="256" spans="1:5">
      <c r="A256">
        <f t="shared" si="20"/>
        <v>243</v>
      </c>
      <c r="B256" s="1">
        <f t="shared" si="19"/>
        <v>16962.700734602204</v>
      </c>
      <c r="C256" s="1">
        <f t="shared" si="21"/>
        <v>12105.580086463182</v>
      </c>
      <c r="D256" s="1">
        <f t="shared" si="22"/>
        <v>4857.1206481390218</v>
      </c>
      <c r="E256" s="1">
        <f t="shared" si="23"/>
        <v>820543.67388022621</v>
      </c>
    </row>
    <row r="257" spans="1:5">
      <c r="A257">
        <f t="shared" si="20"/>
        <v>244</v>
      </c>
      <c r="B257" s="1">
        <f t="shared" si="19"/>
        <v>16962.700734602204</v>
      </c>
      <c r="C257" s="1">
        <f t="shared" si="21"/>
        <v>12176.195970300883</v>
      </c>
      <c r="D257" s="1">
        <f t="shared" si="22"/>
        <v>4786.5047643013195</v>
      </c>
      <c r="E257" s="1">
        <f t="shared" si="23"/>
        <v>808367.47790992528</v>
      </c>
    </row>
    <row r="258" spans="1:5">
      <c r="A258">
        <f t="shared" si="20"/>
        <v>245</v>
      </c>
      <c r="B258" s="1">
        <f t="shared" si="19"/>
        <v>16962.700734602204</v>
      </c>
      <c r="C258" s="1">
        <f t="shared" si="21"/>
        <v>12247.223780127639</v>
      </c>
      <c r="D258" s="1">
        <f t="shared" si="22"/>
        <v>4715.4769544745641</v>
      </c>
      <c r="E258" s="1">
        <f t="shared" si="23"/>
        <v>796120.25412979769</v>
      </c>
    </row>
    <row r="259" spans="1:5">
      <c r="A259">
        <f t="shared" si="20"/>
        <v>246</v>
      </c>
      <c r="B259" s="1">
        <f t="shared" si="19"/>
        <v>16962.700734602204</v>
      </c>
      <c r="C259" s="1">
        <f t="shared" si="21"/>
        <v>12318.66591884505</v>
      </c>
      <c r="D259" s="1">
        <f t="shared" si="22"/>
        <v>4644.0348157571534</v>
      </c>
      <c r="E259" s="1">
        <f t="shared" si="23"/>
        <v>783801.58821095258</v>
      </c>
    </row>
    <row r="260" spans="1:5">
      <c r="A260">
        <f t="shared" si="20"/>
        <v>247</v>
      </c>
      <c r="B260" s="1">
        <f t="shared" si="19"/>
        <v>16962.700734602204</v>
      </c>
      <c r="C260" s="1">
        <f t="shared" si="21"/>
        <v>12390.524803371647</v>
      </c>
      <c r="D260" s="1">
        <f t="shared" si="22"/>
        <v>4572.1759312305567</v>
      </c>
      <c r="E260" s="1">
        <f t="shared" si="23"/>
        <v>771411.06340758095</v>
      </c>
    </row>
    <row r="261" spans="1:5">
      <c r="A261">
        <f t="shared" si="20"/>
        <v>248</v>
      </c>
      <c r="B261" s="1">
        <f t="shared" si="19"/>
        <v>16962.700734602204</v>
      </c>
      <c r="C261" s="1">
        <f t="shared" si="21"/>
        <v>12462.802864724648</v>
      </c>
      <c r="D261" s="1">
        <f t="shared" si="22"/>
        <v>4499.8978698775554</v>
      </c>
      <c r="E261" s="1">
        <f t="shared" si="23"/>
        <v>758948.2605428563</v>
      </c>
    </row>
    <row r="262" spans="1:5">
      <c r="A262">
        <f t="shared" si="20"/>
        <v>249</v>
      </c>
      <c r="B262" s="1">
        <f t="shared" si="19"/>
        <v>16962.700734602204</v>
      </c>
      <c r="C262" s="1">
        <f t="shared" si="21"/>
        <v>12535.502548102209</v>
      </c>
      <c r="D262" s="1">
        <f t="shared" si="22"/>
        <v>4427.1981864999952</v>
      </c>
      <c r="E262" s="1">
        <f t="shared" si="23"/>
        <v>746412.75799475412</v>
      </c>
    </row>
    <row r="263" spans="1:5">
      <c r="A263">
        <f t="shared" si="20"/>
        <v>250</v>
      </c>
      <c r="B263" s="1">
        <f t="shared" si="19"/>
        <v>16962.700734602204</v>
      </c>
      <c r="C263" s="1">
        <f t="shared" si="21"/>
        <v>12608.626312966138</v>
      </c>
      <c r="D263" s="1">
        <f t="shared" si="22"/>
        <v>4354.0744216360663</v>
      </c>
      <c r="E263" s="1">
        <f t="shared" si="23"/>
        <v>733804.13168178801</v>
      </c>
    </row>
    <row r="264" spans="1:5">
      <c r="A264">
        <f t="shared" ref="A264:A327" si="24">IF(($B$7*$B$8&gt;A263),IF(($B$7*$B$8)=A263,"",A263+1),"")</f>
        <v>251</v>
      </c>
      <c r="B264" s="1">
        <f t="shared" si="19"/>
        <v>16962.700734602204</v>
      </c>
      <c r="C264" s="1">
        <f t="shared" ref="C264:C327" si="25">IF(A264="","",B264-D264)</f>
        <v>12682.176633125106</v>
      </c>
      <c r="D264" s="1">
        <f t="shared" ref="D264:D327" si="26">IF(A264="","",(E263*($B$6/$B$8)))</f>
        <v>4280.5241014770972</v>
      </c>
      <c r="E264" s="1">
        <f t="shared" ref="E264:E327" si="27">IF(A264="","",E263-C264)</f>
        <v>721121.95504866296</v>
      </c>
    </row>
    <row r="265" spans="1:5">
      <c r="A265">
        <f t="shared" si="24"/>
        <v>252</v>
      </c>
      <c r="B265" s="1">
        <f t="shared" si="19"/>
        <v>16962.700734602204</v>
      </c>
      <c r="C265" s="1">
        <f t="shared" si="25"/>
        <v>12756.155996818336</v>
      </c>
      <c r="D265" s="1">
        <f t="shared" si="26"/>
        <v>4206.5447377838673</v>
      </c>
      <c r="E265" s="1">
        <f t="shared" si="27"/>
        <v>708365.79905184463</v>
      </c>
    </row>
    <row r="266" spans="1:5">
      <c r="A266">
        <f t="shared" si="24"/>
        <v>253</v>
      </c>
      <c r="B266" s="1">
        <f t="shared" si="19"/>
        <v>16962.700734602204</v>
      </c>
      <c r="C266" s="1">
        <f t="shared" si="25"/>
        <v>12830.566906799777</v>
      </c>
      <c r="D266" s="1">
        <f t="shared" si="26"/>
        <v>4132.1338278024268</v>
      </c>
      <c r="E266" s="1">
        <f t="shared" si="27"/>
        <v>695535.23214504484</v>
      </c>
    </row>
    <row r="267" spans="1:5">
      <c r="A267">
        <f t="shared" si="24"/>
        <v>254</v>
      </c>
      <c r="B267" s="1">
        <f t="shared" si="19"/>
        <v>16962.700734602204</v>
      </c>
      <c r="C267" s="1">
        <f t="shared" si="25"/>
        <v>12905.411880422776</v>
      </c>
      <c r="D267" s="1">
        <f t="shared" si="26"/>
        <v>4057.2888541794282</v>
      </c>
      <c r="E267" s="1">
        <f t="shared" si="27"/>
        <v>682629.8202646221</v>
      </c>
    </row>
    <row r="268" spans="1:5">
      <c r="A268">
        <f t="shared" si="24"/>
        <v>255</v>
      </c>
      <c r="B268" s="1">
        <f t="shared" si="19"/>
        <v>16962.700734602204</v>
      </c>
      <c r="C268" s="1">
        <f t="shared" si="25"/>
        <v>12980.69344972524</v>
      </c>
      <c r="D268" s="1">
        <f t="shared" si="26"/>
        <v>3982.0072848769623</v>
      </c>
      <c r="E268" s="1">
        <f t="shared" si="27"/>
        <v>669649.12681489682</v>
      </c>
    </row>
    <row r="269" spans="1:5">
      <c r="A269">
        <f t="shared" si="24"/>
        <v>256</v>
      </c>
      <c r="B269" s="1">
        <f t="shared" si="19"/>
        <v>16962.700734602204</v>
      </c>
      <c r="C269" s="1">
        <f t="shared" si="25"/>
        <v>13056.414161515306</v>
      </c>
      <c r="D269" s="1">
        <f t="shared" si="26"/>
        <v>3906.2865730868984</v>
      </c>
      <c r="E269" s="1">
        <f t="shared" si="27"/>
        <v>656592.71265338152</v>
      </c>
    </row>
    <row r="270" spans="1:5">
      <c r="A270">
        <f t="shared" si="24"/>
        <v>257</v>
      </c>
      <c r="B270" s="1">
        <f t="shared" si="19"/>
        <v>16962.700734602204</v>
      </c>
      <c r="C270" s="1">
        <f t="shared" si="25"/>
        <v>13132.576577457477</v>
      </c>
      <c r="D270" s="1">
        <f t="shared" si="26"/>
        <v>3830.1241571447258</v>
      </c>
      <c r="E270" s="1">
        <f t="shared" si="27"/>
        <v>643460.13607592403</v>
      </c>
    </row>
    <row r="271" spans="1:5">
      <c r="A271">
        <f t="shared" si="24"/>
        <v>258</v>
      </c>
      <c r="B271" s="1">
        <f t="shared" si="19"/>
        <v>16962.700734602204</v>
      </c>
      <c r="C271" s="1">
        <f t="shared" si="25"/>
        <v>13209.183274159313</v>
      </c>
      <c r="D271" s="1">
        <f t="shared" si="26"/>
        <v>3753.5174604428903</v>
      </c>
      <c r="E271" s="1">
        <f t="shared" si="27"/>
        <v>630250.95280176471</v>
      </c>
    </row>
    <row r="272" spans="1:5">
      <c r="A272">
        <f t="shared" si="24"/>
        <v>259</v>
      </c>
      <c r="B272" s="1">
        <f t="shared" ref="B272:B335" si="28">IF(A272="","",$B$14)</f>
        <v>16962.700734602204</v>
      </c>
      <c r="C272" s="1">
        <f t="shared" si="25"/>
        <v>13286.236843258575</v>
      </c>
      <c r="D272" s="1">
        <f t="shared" si="26"/>
        <v>3676.4638913436274</v>
      </c>
      <c r="E272" s="1">
        <f t="shared" si="27"/>
        <v>616964.7159585061</v>
      </c>
    </row>
    <row r="273" spans="1:5">
      <c r="A273">
        <f t="shared" si="24"/>
        <v>260</v>
      </c>
      <c r="B273" s="1">
        <f t="shared" si="28"/>
        <v>16962.700734602204</v>
      </c>
      <c r="C273" s="1">
        <f t="shared" si="25"/>
        <v>13363.739891510919</v>
      </c>
      <c r="D273" s="1">
        <f t="shared" si="26"/>
        <v>3598.9608430912858</v>
      </c>
      <c r="E273" s="1">
        <f t="shared" si="27"/>
        <v>603600.97606699518</v>
      </c>
    </row>
    <row r="274" spans="1:5">
      <c r="A274">
        <f t="shared" si="24"/>
        <v>261</v>
      </c>
      <c r="B274" s="1">
        <f t="shared" si="28"/>
        <v>16962.700734602204</v>
      </c>
      <c r="C274" s="1">
        <f t="shared" si="25"/>
        <v>13441.695040878065</v>
      </c>
      <c r="D274" s="1">
        <f t="shared" si="26"/>
        <v>3521.0056937241388</v>
      </c>
      <c r="E274" s="1">
        <f t="shared" si="27"/>
        <v>590159.28102611715</v>
      </c>
    </row>
    <row r="275" spans="1:5">
      <c r="A275">
        <f t="shared" si="24"/>
        <v>262</v>
      </c>
      <c r="B275" s="1">
        <f t="shared" si="28"/>
        <v>16962.700734602204</v>
      </c>
      <c r="C275" s="1">
        <f t="shared" si="25"/>
        <v>13520.10492861652</v>
      </c>
      <c r="D275" s="1">
        <f t="shared" si="26"/>
        <v>3442.5958059856835</v>
      </c>
      <c r="E275" s="1">
        <f t="shared" si="27"/>
        <v>576639.1760975006</v>
      </c>
    </row>
    <row r="276" spans="1:5">
      <c r="A276">
        <f t="shared" si="24"/>
        <v>263</v>
      </c>
      <c r="B276" s="1">
        <f t="shared" si="28"/>
        <v>16962.700734602204</v>
      </c>
      <c r="C276" s="1">
        <f t="shared" si="25"/>
        <v>13598.972207366784</v>
      </c>
      <c r="D276" s="1">
        <f t="shared" si="26"/>
        <v>3363.7285272354202</v>
      </c>
      <c r="E276" s="1">
        <f t="shared" si="27"/>
        <v>563040.20389013377</v>
      </c>
    </row>
    <row r="277" spans="1:5">
      <c r="A277">
        <f t="shared" si="24"/>
        <v>264</v>
      </c>
      <c r="B277" s="1">
        <f t="shared" si="28"/>
        <v>16962.700734602204</v>
      </c>
      <c r="C277" s="1">
        <f t="shared" si="25"/>
        <v>13678.29954524309</v>
      </c>
      <c r="D277" s="1">
        <f t="shared" si="26"/>
        <v>3284.4011893591137</v>
      </c>
      <c r="E277" s="1">
        <f t="shared" si="27"/>
        <v>549361.90434489073</v>
      </c>
    </row>
    <row r="278" spans="1:5">
      <c r="A278">
        <f t="shared" si="24"/>
        <v>265</v>
      </c>
      <c r="B278" s="1">
        <f t="shared" si="28"/>
        <v>16962.700734602204</v>
      </c>
      <c r="C278" s="1">
        <f t="shared" si="25"/>
        <v>13758.089625923674</v>
      </c>
      <c r="D278" s="1">
        <f t="shared" si="26"/>
        <v>3204.6111086785295</v>
      </c>
      <c r="E278" s="1">
        <f t="shared" si="27"/>
        <v>535603.81471896707</v>
      </c>
    </row>
    <row r="279" spans="1:5">
      <c r="A279">
        <f t="shared" si="24"/>
        <v>266</v>
      </c>
      <c r="B279" s="1">
        <f t="shared" si="28"/>
        <v>16962.700734602204</v>
      </c>
      <c r="C279" s="1">
        <f t="shared" si="25"/>
        <v>13838.345148741562</v>
      </c>
      <c r="D279" s="1">
        <f t="shared" si="26"/>
        <v>3124.3555858606414</v>
      </c>
      <c r="E279" s="1">
        <f t="shared" si="27"/>
        <v>521765.46957022551</v>
      </c>
    </row>
    <row r="280" spans="1:5">
      <c r="A280">
        <f t="shared" si="24"/>
        <v>267</v>
      </c>
      <c r="B280" s="1">
        <f t="shared" si="28"/>
        <v>16962.700734602204</v>
      </c>
      <c r="C280" s="1">
        <f t="shared" si="25"/>
        <v>13919.068828775888</v>
      </c>
      <c r="D280" s="1">
        <f t="shared" si="26"/>
        <v>3043.6319058263157</v>
      </c>
      <c r="E280" s="1">
        <f t="shared" si="27"/>
        <v>507846.40074144962</v>
      </c>
    </row>
    <row r="281" spans="1:5">
      <c r="A281">
        <f t="shared" si="24"/>
        <v>268</v>
      </c>
      <c r="B281" s="1">
        <f t="shared" si="28"/>
        <v>16962.700734602204</v>
      </c>
      <c r="C281" s="1">
        <f t="shared" si="25"/>
        <v>14000.263396943748</v>
      </c>
      <c r="D281" s="1">
        <f t="shared" si="26"/>
        <v>2962.4373376584563</v>
      </c>
      <c r="E281" s="1">
        <f t="shared" si="27"/>
        <v>493846.13734450587</v>
      </c>
    </row>
    <row r="282" spans="1:5">
      <c r="A282">
        <f t="shared" si="24"/>
        <v>269</v>
      </c>
      <c r="B282" s="1">
        <f t="shared" si="28"/>
        <v>16962.700734602204</v>
      </c>
      <c r="C282" s="1">
        <f t="shared" si="25"/>
        <v>14081.931600092586</v>
      </c>
      <c r="D282" s="1">
        <f t="shared" si="26"/>
        <v>2880.7691345096177</v>
      </c>
      <c r="E282" s="1">
        <f t="shared" si="27"/>
        <v>479764.20574441331</v>
      </c>
    </row>
    <row r="283" spans="1:5">
      <c r="A283">
        <f t="shared" si="24"/>
        <v>270</v>
      </c>
      <c r="B283" s="1">
        <f t="shared" si="28"/>
        <v>16962.700734602204</v>
      </c>
      <c r="C283" s="1">
        <f t="shared" si="25"/>
        <v>14164.076201093125</v>
      </c>
      <c r="D283" s="1">
        <f t="shared" si="26"/>
        <v>2798.624533509078</v>
      </c>
      <c r="E283" s="1">
        <f t="shared" si="27"/>
        <v>465600.12954332016</v>
      </c>
    </row>
    <row r="284" spans="1:5">
      <c r="A284">
        <f t="shared" si="24"/>
        <v>271</v>
      </c>
      <c r="B284" s="1">
        <f t="shared" si="28"/>
        <v>16962.700734602204</v>
      </c>
      <c r="C284" s="1">
        <f t="shared" si="25"/>
        <v>14246.699978932837</v>
      </c>
      <c r="D284" s="1">
        <f t="shared" si="26"/>
        <v>2716.0007556693677</v>
      </c>
      <c r="E284" s="1">
        <f t="shared" si="27"/>
        <v>451353.4295643873</v>
      </c>
    </row>
    <row r="285" spans="1:5">
      <c r="A285">
        <f t="shared" si="24"/>
        <v>272</v>
      </c>
      <c r="B285" s="1">
        <f t="shared" si="28"/>
        <v>16962.700734602204</v>
      </c>
      <c r="C285" s="1">
        <f t="shared" si="25"/>
        <v>14329.805728809944</v>
      </c>
      <c r="D285" s="1">
        <f t="shared" si="26"/>
        <v>2632.8950057922593</v>
      </c>
      <c r="E285" s="1">
        <f t="shared" si="27"/>
        <v>437023.62383557734</v>
      </c>
    </row>
    <row r="286" spans="1:5">
      <c r="A286">
        <f t="shared" si="24"/>
        <v>273</v>
      </c>
      <c r="B286" s="1">
        <f t="shared" si="28"/>
        <v>16962.700734602204</v>
      </c>
      <c r="C286" s="1">
        <f t="shared" si="25"/>
        <v>14413.396262228001</v>
      </c>
      <c r="D286" s="1">
        <f t="shared" si="26"/>
        <v>2549.3044723742014</v>
      </c>
      <c r="E286" s="1">
        <f t="shared" si="27"/>
        <v>422610.22757334932</v>
      </c>
    </row>
    <row r="287" spans="1:5">
      <c r="A287">
        <f t="shared" si="24"/>
        <v>274</v>
      </c>
      <c r="B287" s="1">
        <f t="shared" si="28"/>
        <v>16962.700734602204</v>
      </c>
      <c r="C287" s="1">
        <f t="shared" si="25"/>
        <v>14497.474407090998</v>
      </c>
      <c r="D287" s="1">
        <f t="shared" si="26"/>
        <v>2465.2263275112045</v>
      </c>
      <c r="E287" s="1">
        <f t="shared" si="27"/>
        <v>408112.75316625834</v>
      </c>
    </row>
    <row r="288" spans="1:5">
      <c r="A288">
        <f t="shared" si="24"/>
        <v>275</v>
      </c>
      <c r="B288" s="1">
        <f t="shared" si="28"/>
        <v>16962.700734602204</v>
      </c>
      <c r="C288" s="1">
        <f t="shared" si="25"/>
        <v>14582.04300779903</v>
      </c>
      <c r="D288" s="1">
        <f t="shared" si="26"/>
        <v>2380.6577268031738</v>
      </c>
      <c r="E288" s="1">
        <f t="shared" si="27"/>
        <v>393530.71015845932</v>
      </c>
    </row>
    <row r="289" spans="1:5">
      <c r="A289">
        <f t="shared" si="24"/>
        <v>276</v>
      </c>
      <c r="B289" s="1">
        <f t="shared" si="28"/>
        <v>16962.700734602204</v>
      </c>
      <c r="C289" s="1">
        <f t="shared" si="25"/>
        <v>14667.104925344524</v>
      </c>
      <c r="D289" s="1">
        <f t="shared" si="26"/>
        <v>2295.5958092576793</v>
      </c>
      <c r="E289" s="1">
        <f t="shared" si="27"/>
        <v>378863.60523311479</v>
      </c>
    </row>
    <row r="290" spans="1:5">
      <c r="A290">
        <f t="shared" si="24"/>
        <v>277</v>
      </c>
      <c r="B290" s="1">
        <f t="shared" si="28"/>
        <v>16962.700734602204</v>
      </c>
      <c r="C290" s="1">
        <f t="shared" si="25"/>
        <v>14752.663037409035</v>
      </c>
      <c r="D290" s="1">
        <f t="shared" si="26"/>
        <v>2210.0376971931696</v>
      </c>
      <c r="E290" s="1">
        <f t="shared" si="27"/>
        <v>364110.94219570578</v>
      </c>
    </row>
    <row r="291" spans="1:5">
      <c r="A291">
        <f t="shared" si="24"/>
        <v>278</v>
      </c>
      <c r="B291" s="1">
        <f t="shared" si="28"/>
        <v>16962.700734602204</v>
      </c>
      <c r="C291" s="1">
        <f t="shared" si="25"/>
        <v>14838.720238460586</v>
      </c>
      <c r="D291" s="1">
        <f t="shared" si="26"/>
        <v>2123.9804961416171</v>
      </c>
      <c r="E291" s="1">
        <f t="shared" si="27"/>
        <v>349272.2219572452</v>
      </c>
    </row>
    <row r="292" spans="1:5">
      <c r="A292">
        <f t="shared" si="24"/>
        <v>279</v>
      </c>
      <c r="B292" s="1">
        <f t="shared" si="28"/>
        <v>16962.700734602204</v>
      </c>
      <c r="C292" s="1">
        <f t="shared" si="25"/>
        <v>14925.279439851607</v>
      </c>
      <c r="D292" s="1">
        <f t="shared" si="26"/>
        <v>2037.4212947505971</v>
      </c>
      <c r="E292" s="1">
        <f t="shared" si="27"/>
        <v>334346.94251739362</v>
      </c>
    </row>
    <row r="293" spans="1:5">
      <c r="A293">
        <f t="shared" si="24"/>
        <v>280</v>
      </c>
      <c r="B293" s="1">
        <f t="shared" si="28"/>
        <v>16962.700734602204</v>
      </c>
      <c r="C293" s="1">
        <f t="shared" si="25"/>
        <v>15012.343569917408</v>
      </c>
      <c r="D293" s="1">
        <f t="shared" si="26"/>
        <v>1950.3571646847961</v>
      </c>
      <c r="E293" s="1">
        <f t="shared" si="27"/>
        <v>319334.59894747619</v>
      </c>
    </row>
    <row r="294" spans="1:5">
      <c r="A294">
        <f t="shared" si="24"/>
        <v>281</v>
      </c>
      <c r="B294" s="1">
        <f t="shared" si="28"/>
        <v>16962.700734602204</v>
      </c>
      <c r="C294" s="1">
        <f t="shared" si="25"/>
        <v>15099.915574075259</v>
      </c>
      <c r="D294" s="1">
        <f t="shared" si="26"/>
        <v>1862.7851605269445</v>
      </c>
      <c r="E294" s="1">
        <f t="shared" si="27"/>
        <v>304234.68337340094</v>
      </c>
    </row>
    <row r="295" spans="1:5">
      <c r="A295">
        <f t="shared" si="24"/>
        <v>282</v>
      </c>
      <c r="B295" s="1">
        <f t="shared" si="28"/>
        <v>16962.700734602204</v>
      </c>
      <c r="C295" s="1">
        <f t="shared" si="25"/>
        <v>15187.998414924032</v>
      </c>
      <c r="D295" s="1">
        <f t="shared" si="26"/>
        <v>1774.7023196781722</v>
      </c>
      <c r="E295" s="1">
        <f t="shared" si="27"/>
        <v>289046.68495847692</v>
      </c>
    </row>
    <row r="296" spans="1:5">
      <c r="A296">
        <f t="shared" si="24"/>
        <v>283</v>
      </c>
      <c r="B296" s="1">
        <f t="shared" si="28"/>
        <v>16962.700734602204</v>
      </c>
      <c r="C296" s="1">
        <f t="shared" si="25"/>
        <v>15276.595072344422</v>
      </c>
      <c r="D296" s="1">
        <f t="shared" si="26"/>
        <v>1686.1056622577821</v>
      </c>
      <c r="E296" s="1">
        <f t="shared" si="27"/>
        <v>273770.08988613251</v>
      </c>
    </row>
    <row r="297" spans="1:5">
      <c r="A297">
        <f t="shared" si="24"/>
        <v>284</v>
      </c>
      <c r="B297" s="1">
        <f t="shared" si="28"/>
        <v>16962.700734602204</v>
      </c>
      <c r="C297" s="1">
        <f t="shared" si="25"/>
        <v>15365.708543599763</v>
      </c>
      <c r="D297" s="1">
        <f t="shared" si="26"/>
        <v>1596.9921910024398</v>
      </c>
      <c r="E297" s="1">
        <f t="shared" si="27"/>
        <v>258404.38134253275</v>
      </c>
    </row>
    <row r="298" spans="1:5">
      <c r="A298">
        <f t="shared" si="24"/>
        <v>285</v>
      </c>
      <c r="B298" s="1">
        <f t="shared" si="28"/>
        <v>16962.700734602204</v>
      </c>
      <c r="C298" s="1">
        <f t="shared" si="25"/>
        <v>15455.341843437429</v>
      </c>
      <c r="D298" s="1">
        <f t="shared" si="26"/>
        <v>1507.3588911647744</v>
      </c>
      <c r="E298" s="1">
        <f t="shared" si="27"/>
        <v>242949.03949909532</v>
      </c>
    </row>
    <row r="299" spans="1:5">
      <c r="A299">
        <f t="shared" si="24"/>
        <v>286</v>
      </c>
      <c r="B299" s="1">
        <f t="shared" si="28"/>
        <v>16962.700734602204</v>
      </c>
      <c r="C299" s="1">
        <f t="shared" si="25"/>
        <v>15545.498004190815</v>
      </c>
      <c r="D299" s="1">
        <f t="shared" si="26"/>
        <v>1417.2027304113894</v>
      </c>
      <c r="E299" s="1">
        <f t="shared" si="27"/>
        <v>227403.54149490449</v>
      </c>
    </row>
    <row r="300" spans="1:5">
      <c r="A300">
        <f t="shared" si="24"/>
        <v>287</v>
      </c>
      <c r="B300" s="1">
        <f t="shared" si="28"/>
        <v>16962.700734602204</v>
      </c>
      <c r="C300" s="1">
        <f t="shared" si="25"/>
        <v>15636.180075881928</v>
      </c>
      <c r="D300" s="1">
        <f t="shared" si="26"/>
        <v>1326.5206587202763</v>
      </c>
      <c r="E300" s="1">
        <f t="shared" si="27"/>
        <v>211767.36141902258</v>
      </c>
    </row>
    <row r="301" spans="1:5">
      <c r="A301">
        <f t="shared" si="24"/>
        <v>288</v>
      </c>
      <c r="B301" s="1">
        <f t="shared" si="28"/>
        <v>16962.700734602204</v>
      </c>
      <c r="C301" s="1">
        <f t="shared" si="25"/>
        <v>15727.391126324572</v>
      </c>
      <c r="D301" s="1">
        <f t="shared" si="26"/>
        <v>1235.3096082776317</v>
      </c>
      <c r="E301" s="1">
        <f t="shared" si="27"/>
        <v>196039.97029269801</v>
      </c>
    </row>
    <row r="302" spans="1:5">
      <c r="A302">
        <f t="shared" si="24"/>
        <v>289</v>
      </c>
      <c r="B302" s="1">
        <f t="shared" si="28"/>
        <v>16962.700734602204</v>
      </c>
      <c r="C302" s="1">
        <f t="shared" si="25"/>
        <v>15819.134241228132</v>
      </c>
      <c r="D302" s="1">
        <f t="shared" si="26"/>
        <v>1143.5664933740718</v>
      </c>
      <c r="E302" s="1">
        <f t="shared" si="27"/>
        <v>180220.83605146987</v>
      </c>
    </row>
    <row r="303" spans="1:5">
      <c r="A303">
        <f t="shared" si="24"/>
        <v>290</v>
      </c>
      <c r="B303" s="1">
        <f t="shared" si="28"/>
        <v>16962.700734602204</v>
      </c>
      <c r="C303" s="1">
        <f t="shared" si="25"/>
        <v>15911.412524301963</v>
      </c>
      <c r="D303" s="1">
        <f t="shared" si="26"/>
        <v>1051.288210300241</v>
      </c>
      <c r="E303" s="1">
        <f t="shared" si="27"/>
        <v>164309.42352716791</v>
      </c>
    </row>
    <row r="304" spans="1:5">
      <c r="A304">
        <f t="shared" si="24"/>
        <v>291</v>
      </c>
      <c r="B304" s="1">
        <f t="shared" si="28"/>
        <v>16962.700734602204</v>
      </c>
      <c r="C304" s="1">
        <f t="shared" si="25"/>
        <v>16004.22909736039</v>
      </c>
      <c r="D304" s="1">
        <f t="shared" si="26"/>
        <v>958.4716372418128</v>
      </c>
      <c r="E304" s="1">
        <f t="shared" si="27"/>
        <v>148305.19442980751</v>
      </c>
    </row>
    <row r="305" spans="1:5">
      <c r="A305">
        <f t="shared" si="24"/>
        <v>292</v>
      </c>
      <c r="B305" s="1">
        <f t="shared" si="28"/>
        <v>16962.700734602204</v>
      </c>
      <c r="C305" s="1">
        <f t="shared" si="25"/>
        <v>16097.587100428327</v>
      </c>
      <c r="D305" s="1">
        <f t="shared" si="26"/>
        <v>865.11363417387713</v>
      </c>
      <c r="E305" s="1">
        <f t="shared" si="27"/>
        <v>132207.60732937919</v>
      </c>
    </row>
    <row r="306" spans="1:5">
      <c r="A306">
        <f t="shared" si="24"/>
        <v>293</v>
      </c>
      <c r="B306" s="1">
        <f t="shared" si="28"/>
        <v>16962.700734602204</v>
      </c>
      <c r="C306" s="1">
        <f t="shared" si="25"/>
        <v>16191.489691847491</v>
      </c>
      <c r="D306" s="1">
        <f t="shared" si="26"/>
        <v>771.21104275471191</v>
      </c>
      <c r="E306" s="1">
        <f t="shared" si="27"/>
        <v>116016.11763753169</v>
      </c>
    </row>
    <row r="307" spans="1:5">
      <c r="A307">
        <f t="shared" si="24"/>
        <v>294</v>
      </c>
      <c r="B307" s="1">
        <f t="shared" si="28"/>
        <v>16962.700734602204</v>
      </c>
      <c r="C307" s="1">
        <f t="shared" si="25"/>
        <v>16285.940048383269</v>
      </c>
      <c r="D307" s="1">
        <f t="shared" si="26"/>
        <v>676.76068621893489</v>
      </c>
      <c r="E307" s="1">
        <f t="shared" si="27"/>
        <v>99730.177589148414</v>
      </c>
    </row>
    <row r="308" spans="1:5">
      <c r="A308">
        <f t="shared" si="24"/>
        <v>295</v>
      </c>
      <c r="B308" s="1">
        <f t="shared" si="28"/>
        <v>16962.700734602204</v>
      </c>
      <c r="C308" s="1">
        <f t="shared" si="25"/>
        <v>16380.941365332172</v>
      </c>
      <c r="D308" s="1">
        <f t="shared" si="26"/>
        <v>581.75936927003249</v>
      </c>
      <c r="E308" s="1">
        <f t="shared" si="27"/>
        <v>83349.236223816246</v>
      </c>
    </row>
    <row r="309" spans="1:5">
      <c r="A309">
        <f t="shared" si="24"/>
        <v>296</v>
      </c>
      <c r="B309" s="1">
        <f t="shared" si="28"/>
        <v>16962.700734602204</v>
      </c>
      <c r="C309" s="1">
        <f t="shared" si="25"/>
        <v>16476.496856629943</v>
      </c>
      <c r="D309" s="1">
        <f t="shared" si="26"/>
        <v>486.20387797226147</v>
      </c>
      <c r="E309" s="1">
        <f t="shared" si="27"/>
        <v>66872.739367186296</v>
      </c>
    </row>
    <row r="310" spans="1:5">
      <c r="A310">
        <f t="shared" si="24"/>
        <v>297</v>
      </c>
      <c r="B310" s="1">
        <f t="shared" si="28"/>
        <v>16962.700734602204</v>
      </c>
      <c r="C310" s="1">
        <f t="shared" si="25"/>
        <v>16572.609754960285</v>
      </c>
      <c r="D310" s="1">
        <f t="shared" si="26"/>
        <v>390.09097964192006</v>
      </c>
      <c r="E310" s="1">
        <f t="shared" si="27"/>
        <v>50300.12961222601</v>
      </c>
    </row>
    <row r="311" spans="1:5">
      <c r="A311">
        <f t="shared" si="24"/>
        <v>298</v>
      </c>
      <c r="B311" s="1">
        <f t="shared" si="28"/>
        <v>16962.700734602204</v>
      </c>
      <c r="C311" s="1">
        <f t="shared" si="25"/>
        <v>16669.283311864219</v>
      </c>
      <c r="D311" s="1">
        <f t="shared" si="26"/>
        <v>293.41742273798508</v>
      </c>
      <c r="E311" s="1">
        <f t="shared" si="27"/>
        <v>33630.846300361794</v>
      </c>
    </row>
    <row r="312" spans="1:5">
      <c r="A312">
        <f t="shared" si="24"/>
        <v>299</v>
      </c>
      <c r="B312" s="1">
        <f t="shared" si="28"/>
        <v>16962.700734602204</v>
      </c>
      <c r="C312" s="1">
        <f t="shared" si="25"/>
        <v>16766.520797850095</v>
      </c>
      <c r="D312" s="1">
        <f t="shared" si="26"/>
        <v>196.17993675211048</v>
      </c>
      <c r="E312" s="1">
        <f t="shared" si="27"/>
        <v>16864.3255025117</v>
      </c>
    </row>
    <row r="313" spans="1:5">
      <c r="A313">
        <f t="shared" si="24"/>
        <v>300</v>
      </c>
      <c r="B313" s="1">
        <f t="shared" si="28"/>
        <v>16962.700734602204</v>
      </c>
      <c r="C313" s="1">
        <f t="shared" si="25"/>
        <v>16864.32550250422</v>
      </c>
      <c r="D313" s="1">
        <f t="shared" si="26"/>
        <v>98.37523209798492</v>
      </c>
      <c r="E313" s="1">
        <f t="shared" si="27"/>
        <v>7.4796844273805618E-9</v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T12" sqref="T12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W8" sqref="W8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1572689.1052621414</v>
      </c>
      <c r="H7" s="94">
        <f>'Profit and Loss Statement'!F21/'Profit and Loss Statement'!F8</f>
        <v>1642687.2128119203</v>
      </c>
      <c r="I7" s="94">
        <f>'Profit and Loss Statement'!G21/'Profit and Loss Statement'!G8</f>
        <v>1712161.5565352798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1572689.1052621414</v>
      </c>
      <c r="H11" s="114">
        <f t="shared" ref="H11:K11" si="0">H7</f>
        <v>1642687.2128119203</v>
      </c>
      <c r="I11" s="114">
        <f t="shared" si="0"/>
        <v>1712161.5565352798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V9" sqref="V9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9"/>
      <c r="J8" s="129"/>
    </row>
    <row r="9" spans="5:10">
      <c r="E9" s="103" t="s">
        <v>12</v>
      </c>
      <c r="F9" s="104">
        <f>'Profit and Loss Statement'!E8</f>
        <v>0.92920203735144313</v>
      </c>
      <c r="G9" s="104">
        <f>'Profit and Loss Statement'!F8</f>
        <v>0.92920203735144313</v>
      </c>
      <c r="H9" s="101">
        <f>'Profit and Loss Statement'!G8</f>
        <v>0.92920203735144313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0.19410345311537097</v>
      </c>
      <c r="G12" s="101">
        <f>'Profit and Loss Statement'!F28/'Profit and Loss Statement'!F6</f>
        <v>0.25661958298877574</v>
      </c>
      <c r="H12" s="101">
        <f>'Profit and Loss Statement'!G28/'Profit and Loss Statement'!G6</f>
        <v>0.29634162182510881</v>
      </c>
      <c r="I12" s="129"/>
      <c r="J12" s="129"/>
    </row>
    <row r="13" spans="5:10">
      <c r="E13" s="66" t="s">
        <v>92</v>
      </c>
      <c r="F13" s="105">
        <f>'Balance Sheet'!E10/'Balance Sheet'!E15</f>
        <v>1.283018646031673</v>
      </c>
      <c r="G13" s="105">
        <f>'Balance Sheet'!F10/'Balance Sheet'!F15</f>
        <v>1.3567414071573152</v>
      </c>
      <c r="H13" s="105">
        <f>'Balance Sheet'!G10/'Balance Sheet'!G15</f>
        <v>1.468876791956802</v>
      </c>
      <c r="I13" s="130"/>
      <c r="J13" s="130"/>
    </row>
    <row r="14" spans="5:10">
      <c r="E14" s="66" t="s">
        <v>93</v>
      </c>
      <c r="F14" s="105">
        <f>'Balance Sheet'!E17/'Balance Sheet'!E15</f>
        <v>0.28301864603167298</v>
      </c>
      <c r="G14" s="105">
        <f>'Balance Sheet'!F17/'Balance Sheet'!F15</f>
        <v>0.35674140715731523</v>
      </c>
      <c r="H14" s="105">
        <f>'Balance Sheet'!G17/'Balance Sheet'!G15</f>
        <v>0.46887679195680193</v>
      </c>
      <c r="I14" s="130"/>
      <c r="J14" s="130"/>
    </row>
    <row r="15" spans="5:10">
      <c r="E15" s="66" t="s">
        <v>94</v>
      </c>
      <c r="F15" s="105">
        <f>'Balance Sheet'!E10/'Balance Sheet'!E17</f>
        <v>4.5333361035445305</v>
      </c>
      <c r="G15" s="105">
        <f>'Balance Sheet'!F10/'Balance Sheet'!F17</f>
        <v>3.8031509096980765</v>
      </c>
      <c r="H15" s="105">
        <f>'Balance Sheet'!G10/'Balance Sheet'!G17</f>
        <v>3.132756445092149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0.21739259234955266</v>
      </c>
      <c r="G18" s="105">
        <f>'Balance Sheet'!F7/'Balance Sheet'!F10</f>
        <v>0.27256218599396875</v>
      </c>
      <c r="H18" s="105">
        <f>'Balance Sheet'!G7/'Balance Sheet'!G10</f>
        <v>0.33530803320375785</v>
      </c>
      <c r="I18" s="130"/>
      <c r="J18" s="130"/>
    </row>
    <row r="19" spans="5:10">
      <c r="E19" s="66" t="s">
        <v>96</v>
      </c>
      <c r="F19" s="105">
        <f>'Balance Sheet'!E7/'Balance Sheet'!E15</f>
        <v>0.27891874949363848</v>
      </c>
      <c r="G19" s="105">
        <f>'Balance Sheet'!F7/'Balance Sheet'!F15</f>
        <v>0.36979640376333106</v>
      </c>
      <c r="H19" s="105">
        <f>'Balance Sheet'!G7/'Balance Sheet'!G15</f>
        <v>0.49252618812968063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D12" sqref="D12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10.140625" bestFit="1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125</v>
      </c>
      <c r="C5" s="14">
        <v>150000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126</v>
      </c>
      <c r="C6" s="14">
        <v>100000</v>
      </c>
      <c r="G6" s="4" t="str">
        <f>B5</f>
        <v>Senior Management</v>
      </c>
      <c r="H6" s="14">
        <f t="shared" ref="H6:H15" si="0">H18*C5</f>
        <v>150000</v>
      </c>
      <c r="I6" s="14">
        <f t="shared" ref="I6:I15" si="1">D58*I18</f>
        <v>154500</v>
      </c>
      <c r="J6" s="14">
        <f t="shared" ref="J6:J15" si="2">E58*J18</f>
        <v>159135</v>
      </c>
      <c r="M6" s="118"/>
      <c r="N6" s="118"/>
    </row>
    <row r="7" spans="2:14">
      <c r="B7" s="4" t="s">
        <v>132</v>
      </c>
      <c r="C7" s="14">
        <v>50000</v>
      </c>
      <c r="G7" s="4" t="str">
        <f>B6</f>
        <v>Operations Manager</v>
      </c>
      <c r="H7" s="14">
        <f t="shared" si="0"/>
        <v>200000</v>
      </c>
      <c r="I7" s="14">
        <f t="shared" si="1"/>
        <v>206000</v>
      </c>
      <c r="J7" s="14">
        <f t="shared" si="2"/>
        <v>212180</v>
      </c>
      <c r="M7" s="118"/>
      <c r="N7" s="118"/>
    </row>
    <row r="8" spans="2:14">
      <c r="B8" s="4" t="s">
        <v>127</v>
      </c>
      <c r="C8" s="14">
        <v>32500</v>
      </c>
      <c r="G8" s="4" t="str">
        <f>B7</f>
        <v>Staff Instructors</v>
      </c>
      <c r="H8" s="14">
        <f t="shared" si="0"/>
        <v>150000</v>
      </c>
      <c r="I8" s="14">
        <f t="shared" si="1"/>
        <v>154500</v>
      </c>
      <c r="J8" s="14">
        <f t="shared" si="2"/>
        <v>159135</v>
      </c>
      <c r="M8" s="118"/>
      <c r="N8" s="118"/>
    </row>
    <row r="9" spans="2:14">
      <c r="B9" s="4" t="s">
        <v>124</v>
      </c>
      <c r="C9" s="14">
        <v>45000</v>
      </c>
      <c r="G9" s="4" t="str">
        <f>B8</f>
        <v>Operational Staff</v>
      </c>
      <c r="H9" s="14">
        <f t="shared" si="0"/>
        <v>325000</v>
      </c>
      <c r="I9" s="14">
        <f t="shared" si="1"/>
        <v>334750</v>
      </c>
      <c r="J9" s="14">
        <f t="shared" si="2"/>
        <v>344792.5</v>
      </c>
      <c r="M9" s="118"/>
      <c r="N9" s="118"/>
    </row>
    <row r="10" spans="2:14">
      <c r="B10" s="4" t="s">
        <v>117</v>
      </c>
      <c r="C10" s="14">
        <v>0</v>
      </c>
      <c r="G10" s="4" t="str">
        <f>B9</f>
        <v>Administrative Staff</v>
      </c>
      <c r="H10" s="14">
        <f t="shared" si="0"/>
        <v>135000</v>
      </c>
      <c r="I10" s="14">
        <f t="shared" si="1"/>
        <v>139050</v>
      </c>
      <c r="J10" s="14">
        <f t="shared" si="2"/>
        <v>143221.5</v>
      </c>
      <c r="M10" s="118"/>
      <c r="N10" s="118"/>
    </row>
    <row r="11" spans="2:14">
      <c r="B11" s="4" t="s">
        <v>135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136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137</v>
      </c>
      <c r="C13" s="14">
        <v>0</v>
      </c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121</v>
      </c>
      <c r="C14" s="14">
        <v>0</v>
      </c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960000</v>
      </c>
      <c r="I16" s="9">
        <f t="shared" ref="I16:J16" si="3">SUM(I6:I15)</f>
        <v>988800</v>
      </c>
      <c r="J16" s="9">
        <f t="shared" si="3"/>
        <v>1018464</v>
      </c>
      <c r="M16" s="119"/>
      <c r="N16" s="119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Operations Manager</v>
      </c>
      <c r="H19" s="4">
        <f t="shared" si="4"/>
        <v>2</v>
      </c>
      <c r="I19" s="4">
        <f t="shared" si="5"/>
        <v>2</v>
      </c>
      <c r="J19" s="4">
        <f t="shared" si="6"/>
        <v>2</v>
      </c>
      <c r="M19" s="30"/>
      <c r="N19" s="30"/>
    </row>
    <row r="20" spans="2:20">
      <c r="G20" s="4" t="str">
        <f>G8</f>
        <v>Staff Instructors</v>
      </c>
      <c r="H20" s="4">
        <f t="shared" si="4"/>
        <v>3</v>
      </c>
      <c r="I20" s="4">
        <f t="shared" si="5"/>
        <v>3</v>
      </c>
      <c r="J20" s="4">
        <f t="shared" si="6"/>
        <v>3</v>
      </c>
      <c r="M20" s="30"/>
      <c r="N20" s="30"/>
    </row>
    <row r="21" spans="2:20">
      <c r="G21" s="4" t="str">
        <f>G9</f>
        <v>Operational Staff</v>
      </c>
      <c r="H21" s="4">
        <f t="shared" si="4"/>
        <v>10</v>
      </c>
      <c r="I21" s="4">
        <f t="shared" si="5"/>
        <v>10</v>
      </c>
      <c r="J21" s="4">
        <f t="shared" si="6"/>
        <v>10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3</v>
      </c>
      <c r="I22" s="4">
        <f t="shared" si="5"/>
        <v>3</v>
      </c>
      <c r="J22" s="4">
        <f t="shared" si="6"/>
        <v>3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1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Operations Manager</v>
      </c>
      <c r="C25" s="5">
        <v>2</v>
      </c>
      <c r="D25" s="5">
        <v>2</v>
      </c>
      <c r="E25" s="5">
        <v>2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Staff Instructors</v>
      </c>
      <c r="C26" s="5">
        <v>3</v>
      </c>
      <c r="D26" s="5">
        <v>3</v>
      </c>
      <c r="E26" s="5">
        <v>3</v>
      </c>
      <c r="F26" s="141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Operational Staff</v>
      </c>
      <c r="C27" s="5">
        <v>10</v>
      </c>
      <c r="D27" s="5">
        <v>10</v>
      </c>
      <c r="E27" s="5">
        <v>10</v>
      </c>
      <c r="F27" s="141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Administrative Staff</v>
      </c>
      <c r="C28" s="5">
        <v>3</v>
      </c>
      <c r="D28" s="5">
        <v>3</v>
      </c>
      <c r="E28" s="5">
        <v>3</v>
      </c>
      <c r="F28" s="141"/>
      <c r="G28" s="10" t="s">
        <v>8</v>
      </c>
      <c r="H28" s="10">
        <f>SUM(H18:H27)</f>
        <v>19</v>
      </c>
      <c r="I28" s="10">
        <f t="shared" ref="I28:J28" si="8">SUM(I18:I27)</f>
        <v>19</v>
      </c>
      <c r="J28" s="10">
        <f t="shared" si="8"/>
        <v>19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117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118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119</v>
      </c>
      <c r="C31" s="5"/>
      <c r="D31" s="5"/>
      <c r="E31" s="5"/>
      <c r="L31" s="112" t="str">
        <f>G6</f>
        <v>Senior Management</v>
      </c>
      <c r="M31" s="113">
        <f>J6/$J$16</f>
        <v>0.15625</v>
      </c>
      <c r="O31" s="115"/>
      <c r="P31" s="115"/>
      <c r="Q31" s="115"/>
      <c r="R31" s="115"/>
      <c r="S31" s="115"/>
      <c r="T31" s="115"/>
    </row>
    <row r="32" spans="2:20">
      <c r="B32" s="15" t="s">
        <v>120</v>
      </c>
      <c r="C32" s="5"/>
      <c r="D32" s="5"/>
      <c r="E32" s="5"/>
      <c r="F32" s="30"/>
      <c r="G32" s="30"/>
      <c r="L32" s="112" t="str">
        <f>G7</f>
        <v>Operations Manager</v>
      </c>
      <c r="M32" s="113">
        <f>J7/$J$16</f>
        <v>0.20833333333333334</v>
      </c>
      <c r="O32" s="115"/>
      <c r="P32" s="115"/>
      <c r="Q32" s="115"/>
      <c r="T32" s="115"/>
    </row>
    <row r="33" spans="2:20">
      <c r="B33" s="15" t="s">
        <v>121</v>
      </c>
      <c r="C33" s="5"/>
      <c r="D33" s="5"/>
      <c r="E33" s="5"/>
      <c r="F33" s="30"/>
      <c r="G33" s="30"/>
      <c r="L33" s="112" t="str">
        <f>G8</f>
        <v>Staff Instructors</v>
      </c>
      <c r="M33" s="113">
        <f>J8/$J$16</f>
        <v>0.15625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Operational Staff</v>
      </c>
      <c r="M34" s="113">
        <f>J9/$J$16</f>
        <v>0.33854166666666669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Administrative Staff</v>
      </c>
      <c r="M35" s="113">
        <f>J10/$J$16</f>
        <v>0.140625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150000</v>
      </c>
      <c r="D58" s="14">
        <f>C58*(1+$C$53)</f>
        <v>154500</v>
      </c>
      <c r="E58" s="14">
        <f>D58*(1+$C$53)</f>
        <v>159135</v>
      </c>
      <c r="F58" s="14">
        <f>E58*(1+$C$53)</f>
        <v>163909.05000000002</v>
      </c>
      <c r="G58" s="14">
        <f>F58*(1+$C$53)</f>
        <v>168826.32150000002</v>
      </c>
    </row>
    <row r="59" spans="2:7">
      <c r="B59" s="4" t="str">
        <f t="shared" ref="B59:C67" si="9">B6</f>
        <v>Operations Manager</v>
      </c>
      <c r="C59" s="14">
        <f t="shared" si="9"/>
        <v>100000</v>
      </c>
      <c r="D59" s="14">
        <f t="shared" ref="D59:G59" si="10">C59*(1+$C$53)</f>
        <v>103000</v>
      </c>
      <c r="E59" s="14">
        <f t="shared" si="10"/>
        <v>106090</v>
      </c>
      <c r="F59" s="14">
        <f t="shared" si="10"/>
        <v>109272.7</v>
      </c>
      <c r="G59" s="14">
        <f t="shared" si="10"/>
        <v>112550.88099999999</v>
      </c>
    </row>
    <row r="60" spans="2:7">
      <c r="B60" s="4" t="str">
        <f t="shared" si="9"/>
        <v>Staff Instructors</v>
      </c>
      <c r="C60" s="14">
        <f t="shared" si="9"/>
        <v>50000</v>
      </c>
      <c r="D60" s="14">
        <f t="shared" ref="D60:G60" si="11">C60*(1+$C$53)</f>
        <v>51500</v>
      </c>
      <c r="E60" s="14">
        <f t="shared" si="11"/>
        <v>53045</v>
      </c>
      <c r="F60" s="14">
        <f t="shared" si="11"/>
        <v>54636.35</v>
      </c>
      <c r="G60" s="14">
        <f t="shared" si="11"/>
        <v>56275.440499999997</v>
      </c>
    </row>
    <row r="61" spans="2:7">
      <c r="B61" s="4" t="str">
        <f t="shared" si="9"/>
        <v>Operational Staff</v>
      </c>
      <c r="C61" s="14">
        <f t="shared" si="9"/>
        <v>32500</v>
      </c>
      <c r="D61" s="14">
        <f t="shared" ref="D61:G61" si="12">C61*(1+$C$53)</f>
        <v>33475</v>
      </c>
      <c r="E61" s="14">
        <f t="shared" si="12"/>
        <v>34479.25</v>
      </c>
      <c r="F61" s="14">
        <f t="shared" si="12"/>
        <v>35513.627500000002</v>
      </c>
      <c r="G61" s="14">
        <f t="shared" si="12"/>
        <v>36579.036325000001</v>
      </c>
    </row>
    <row r="62" spans="2:7">
      <c r="B62" s="4" t="str">
        <f t="shared" si="9"/>
        <v>Administrative Staff</v>
      </c>
      <c r="C62" s="14">
        <f t="shared" si="9"/>
        <v>45000</v>
      </c>
      <c r="D62" s="14">
        <f t="shared" ref="D62:G62" si="13">C62*(1+$C$53)</f>
        <v>46350</v>
      </c>
      <c r="E62" s="14">
        <f t="shared" si="13"/>
        <v>47740.5</v>
      </c>
      <c r="F62" s="14">
        <f t="shared" si="13"/>
        <v>49172.715000000004</v>
      </c>
      <c r="G62" s="14">
        <f t="shared" si="13"/>
        <v>50647.896450000007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2" workbookViewId="0">
      <selection activeCell="W27" sqref="W27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130</v>
      </c>
      <c r="E6" s="6">
        <v>2000000</v>
      </c>
    </row>
    <row r="7" spans="4:5">
      <c r="D7" s="21" t="s">
        <v>131</v>
      </c>
      <c r="E7" s="6">
        <v>500000</v>
      </c>
    </row>
    <row r="8" spans="4:5">
      <c r="D8" s="21" t="s">
        <v>113</v>
      </c>
      <c r="E8" s="6">
        <v>100000</v>
      </c>
    </row>
    <row r="9" spans="4:5">
      <c r="D9" s="21" t="s">
        <v>0</v>
      </c>
      <c r="E9" s="6">
        <v>400000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3000000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600000</v>
      </c>
    </row>
    <row r="22" spans="4:5">
      <c r="D22" s="4" t="s">
        <v>129</v>
      </c>
      <c r="E22" s="14">
        <v>2400000</v>
      </c>
    </row>
    <row r="23" spans="4:5">
      <c r="D23" s="4" t="s">
        <v>99</v>
      </c>
      <c r="E23" s="14">
        <f>SUM(E21:E22)</f>
        <v>3000000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2" workbookViewId="0">
      <selection activeCell="T7" sqref="T7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2687783.7</v>
      </c>
      <c r="F6" s="69">
        <f>'Revenue Overview'!G16</f>
        <v>3225340.44</v>
      </c>
      <c r="G6" s="81">
        <f>'Revenue Overview'!H16</f>
        <v>3709141.5059999996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190289.61</v>
      </c>
      <c r="F7" s="71">
        <f>'Revenue Overview'!G31</f>
        <v>228347.53200000001</v>
      </c>
      <c r="G7" s="80">
        <f>'Revenue Overview'!H31</f>
        <v>262599.66179999994</v>
      </c>
      <c r="H7" s="137"/>
      <c r="I7" s="137"/>
      <c r="J7" s="115"/>
      <c r="K7" s="112" t="s">
        <v>51</v>
      </c>
      <c r="L7" s="114">
        <f>E6</f>
        <v>2687783.7</v>
      </c>
      <c r="M7" s="114">
        <f>F6</f>
        <v>3225340.44</v>
      </c>
      <c r="N7" s="114">
        <f>G6</f>
        <v>3709141.5059999996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0.92920203735144313</v>
      </c>
      <c r="F8" s="73">
        <f t="shared" ref="F8:G8" si="0">1-(F7/F6)</f>
        <v>0.92920203735144313</v>
      </c>
      <c r="G8" s="134">
        <f t="shared" si="0"/>
        <v>0.92920203735144313</v>
      </c>
      <c r="H8" s="139"/>
      <c r="I8" s="139"/>
      <c r="J8" s="115"/>
      <c r="K8" s="112" t="s">
        <v>76</v>
      </c>
      <c r="L8" s="114">
        <f>E6</f>
        <v>2687783.7</v>
      </c>
      <c r="M8" s="114">
        <f>F6</f>
        <v>3225340.44</v>
      </c>
      <c r="N8" s="114">
        <f>G6</f>
        <v>3709141.5059999996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2497494.0900000003</v>
      </c>
      <c r="F10" s="76">
        <f t="shared" ref="F10:G10" si="1">F6-F7</f>
        <v>2996992.9079999998</v>
      </c>
      <c r="G10" s="84">
        <f t="shared" si="1"/>
        <v>3446541.8441999997</v>
      </c>
      <c r="H10" s="136"/>
      <c r="I10" s="136"/>
      <c r="J10" s="115"/>
      <c r="K10" s="112" t="s">
        <v>47</v>
      </c>
      <c r="L10" s="114">
        <f>E23</f>
        <v>1036148.1692700002</v>
      </c>
      <c r="M10" s="114">
        <f>F23</f>
        <v>1470604.6031239999</v>
      </c>
      <c r="N10" s="114">
        <f>G23</f>
        <v>1855597.8375925997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1036148.1692700002</v>
      </c>
      <c r="M11" s="114">
        <f t="shared" ref="M11:N11" si="2">M10</f>
        <v>1470604.6031239999</v>
      </c>
      <c r="N11" s="114">
        <f t="shared" si="2"/>
        <v>1855597.8375925997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960000</v>
      </c>
      <c r="F13" s="78">
        <f>'Personnel - Editable'!I16</f>
        <v>988800</v>
      </c>
      <c r="G13" s="78">
        <f>'Personnel - Editable'!J16</f>
        <v>1018464</v>
      </c>
      <c r="H13" s="137"/>
      <c r="I13" s="137"/>
      <c r="J13" s="115"/>
      <c r="K13" s="112" t="s">
        <v>75</v>
      </c>
      <c r="L13" s="114">
        <f>E21</f>
        <v>1461345.9207300001</v>
      </c>
      <c r="M13" s="114">
        <f>F21</f>
        <v>1526388.3048759999</v>
      </c>
      <c r="N13" s="114">
        <f>G21</f>
        <v>1590944.0066074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250000</v>
      </c>
      <c r="F14" s="80">
        <f>Inputs!D18</f>
        <v>257500</v>
      </c>
      <c r="G14" s="80">
        <f>Inputs!E18</f>
        <v>265225</v>
      </c>
      <c r="H14" s="137"/>
      <c r="I14" s="137"/>
      <c r="J14" s="115"/>
      <c r="K14" s="112" t="s">
        <v>78</v>
      </c>
      <c r="L14" s="114">
        <f>E21</f>
        <v>1461345.9207300001</v>
      </c>
      <c r="M14" s="114">
        <f>F21</f>
        <v>1526388.3048759999</v>
      </c>
      <c r="N14" s="114">
        <f>G21</f>
        <v>1590944.0066074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42198.204089999999</v>
      </c>
      <c r="F15" s="78">
        <f>Inputs!D19</f>
        <v>50637.844907999992</v>
      </c>
      <c r="G15" s="78">
        <f>Inputs!E19</f>
        <v>58233.521644199987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40854.312239999999</v>
      </c>
      <c r="F16" s="80">
        <f>Inputs!D20</f>
        <v>49025.174687999999</v>
      </c>
      <c r="G16" s="80">
        <f>Inputs!E20</f>
        <v>56378.950891199995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57600</v>
      </c>
      <c r="F17" s="78">
        <f>Inputs!D21</f>
        <v>59328</v>
      </c>
      <c r="G17" s="78">
        <f>Inputs!E21</f>
        <v>61107.839999999997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32253.404400000003</v>
      </c>
      <c r="F18" s="80">
        <f>Inputs!D22</f>
        <v>38704.085279999999</v>
      </c>
      <c r="G18" s="80">
        <f>Inputs!E22</f>
        <v>44509.698071999999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5000</v>
      </c>
      <c r="F19" s="78">
        <f>Inputs!D23</f>
        <v>6750</v>
      </c>
      <c r="G19" s="78">
        <f>Inputs!E23</f>
        <v>9112.5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73440</v>
      </c>
      <c r="F20" s="80">
        <f>F13*'Tax Assumptions '!G9</f>
        <v>75643.199999999997</v>
      </c>
      <c r="G20" s="80">
        <f>G13*'Tax Assumptions '!H9</f>
        <v>77912.495999999999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1461345.9207300001</v>
      </c>
      <c r="F21" s="81">
        <f t="shared" ref="F21:G21" si="3">SUM(F13:F20)</f>
        <v>1526388.3048759999</v>
      </c>
      <c r="G21" s="81">
        <f t="shared" si="3"/>
        <v>1590944.0066074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1036148.1692700002</v>
      </c>
      <c r="F23" s="83">
        <f t="shared" ref="F23:G23" si="4">F10-F21</f>
        <v>1470604.6031239999</v>
      </c>
      <c r="G23" s="83">
        <f t="shared" si="4"/>
        <v>1855597.8375925997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186324.32049900296</v>
      </c>
      <c r="F24" s="78">
        <f>(F23-F26-F27)*'Tax Assumptions '!G7</f>
        <v>295601.97096772661</v>
      </c>
      <c r="G24" s="78">
        <f>(G23-G26-G27)*'Tax Assumptions '!H7</f>
        <v>392561.78909530945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101</v>
      </c>
      <c r="E25" s="80">
        <f>(E23-E26-E27)*'Tax Assumptions '!F8</f>
        <v>37264.864099800594</v>
      </c>
      <c r="F25" s="80">
        <f>(F23-F26-F27)*'Tax Assumptions '!G8</f>
        <v>59120.394193545326</v>
      </c>
      <c r="G25" s="80">
        <f>(G23-G26-G27)*'Tax Assumptions '!H8</f>
        <v>78512.357819061886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166836.88727398834</v>
      </c>
      <c r="F26" s="78">
        <f>SUM('Loan Amortization Table'!D26:D37)</f>
        <v>164182.71925309347</v>
      </c>
      <c r="G26" s="78">
        <f>SUM('Loan Amortization Table'!D38:D49)</f>
        <v>161336.68121136198</v>
      </c>
      <c r="H26" s="128"/>
      <c r="I26" s="128"/>
    </row>
    <row r="27" spans="4:21">
      <c r="D27" s="70" t="s">
        <v>54</v>
      </c>
      <c r="E27" s="80">
        <v>124014</v>
      </c>
      <c r="F27" s="80">
        <f>E27</f>
        <v>124014</v>
      </c>
      <c r="G27" s="80">
        <f>F27</f>
        <v>124014</v>
      </c>
      <c r="H27" s="128"/>
      <c r="I27" s="128"/>
    </row>
    <row r="28" spans="4:21">
      <c r="D28" s="82" t="s">
        <v>17</v>
      </c>
      <c r="E28" s="83">
        <f>E23-SUM(E24:E27)</f>
        <v>521708.09739720833</v>
      </c>
      <c r="F28" s="83">
        <f t="shared" ref="F28:G28" si="5">F23-SUM(F24:F27)</f>
        <v>827685.51870963443</v>
      </c>
      <c r="G28" s="83">
        <f t="shared" si="5"/>
        <v>1099173.0094668665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2687783.7</v>
      </c>
      <c r="F32" s="69">
        <f t="shared" ref="F32:G32" si="6">F6</f>
        <v>3225340.44</v>
      </c>
      <c r="G32" s="81">
        <f t="shared" si="6"/>
        <v>3709141.5059999996</v>
      </c>
      <c r="H32" s="132"/>
      <c r="I32" s="132"/>
    </row>
    <row r="33" spans="4:13">
      <c r="D33" s="70" t="s">
        <v>52</v>
      </c>
      <c r="E33" s="71">
        <f>E7</f>
        <v>190289.61</v>
      </c>
      <c r="F33" s="71">
        <f t="shared" ref="F33:G33" si="7">F7</f>
        <v>228347.53200000001</v>
      </c>
      <c r="G33" s="80">
        <f t="shared" si="7"/>
        <v>262599.66179999994</v>
      </c>
      <c r="H33" s="128"/>
      <c r="I33" s="128"/>
    </row>
    <row r="34" spans="4:13">
      <c r="D34" s="68" t="s">
        <v>10</v>
      </c>
      <c r="E34" s="69">
        <f>E10</f>
        <v>2497494.0900000003</v>
      </c>
      <c r="F34" s="69">
        <f t="shared" ref="F34:G34" si="8">F10</f>
        <v>2996992.9079999998</v>
      </c>
      <c r="G34" s="81">
        <f t="shared" si="8"/>
        <v>3446541.8441999997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1461345.9207300001</v>
      </c>
      <c r="F35" s="84">
        <f t="shared" ref="F35:G35" si="9">F21</f>
        <v>1526388.3048759999</v>
      </c>
      <c r="G35" s="84">
        <f t="shared" si="9"/>
        <v>1590944.0066074</v>
      </c>
      <c r="H35" s="132"/>
      <c r="I35" s="132"/>
    </row>
    <row r="36" spans="4:13">
      <c r="D36" s="82" t="s">
        <v>47</v>
      </c>
      <c r="E36" s="83">
        <f>E23</f>
        <v>1036148.1692700002</v>
      </c>
      <c r="F36" s="83">
        <f t="shared" ref="F36:G36" si="10">F23</f>
        <v>1470604.6031239999</v>
      </c>
      <c r="G36" s="83">
        <f t="shared" si="10"/>
        <v>1855597.8375925997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V8" sqref="V8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645722.09739720833</v>
      </c>
      <c r="F6" s="81">
        <f>'Profit and Loss Statement'!F28+'Profit and Loss Statement'!F27</f>
        <v>951699.51870963443</v>
      </c>
      <c r="G6" s="81">
        <f>'Profit and Loss Statement'!G28+'Profit and Loss Statement'!G27</f>
        <v>1223187.0094668665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600000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2400000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8"/>
      <c r="I11" s="128"/>
    </row>
    <row r="12" spans="4:9">
      <c r="D12" s="75" t="s">
        <v>23</v>
      </c>
      <c r="E12" s="89">
        <f>SUM(E9:E11)</f>
        <v>3010000</v>
      </c>
      <c r="F12" s="89">
        <f t="shared" ref="F12:G12" si="0">SUM(F9:F11)</f>
        <v>10200</v>
      </c>
      <c r="G12" s="89">
        <f t="shared" si="0"/>
        <v>10404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3655722.0973972082</v>
      </c>
      <c r="F15" s="90">
        <f t="shared" ref="F15:G15" si="1">F12+F6</f>
        <v>961899.51870963443</v>
      </c>
      <c r="G15" s="90">
        <f t="shared" si="1"/>
        <v>1233591.0094668665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36715.521541238064</v>
      </c>
      <c r="F18" s="80">
        <f>SUM('Loan Amortization Table'!C26:C37)</f>
        <v>39369.689562132968</v>
      </c>
      <c r="G18" s="80">
        <f>SUM('Loan Amortization Table'!C38:C49)</f>
        <v>42215.727603864456</v>
      </c>
      <c r="H18" s="128"/>
      <c r="I18" s="128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8"/>
      <c r="I19" s="128"/>
    </row>
    <row r="20" spans="4:9">
      <c r="D20" s="70" t="s">
        <v>33</v>
      </c>
      <c r="E20" s="80">
        <f>'Use of Funds'!E6+'Use of Funds'!E7</f>
        <v>2500000</v>
      </c>
      <c r="F20" s="80">
        <f>F6*0.05</f>
        <v>47584.975935481722</v>
      </c>
      <c r="G20" s="80">
        <f>G6*0.05</f>
        <v>61159.350473343329</v>
      </c>
      <c r="H20" s="128"/>
      <c r="I20" s="128"/>
    </row>
    <row r="21" spans="4:9">
      <c r="D21" s="72" t="s">
        <v>32</v>
      </c>
      <c r="E21" s="78">
        <f>E6*0.7</f>
        <v>452005.46817804582</v>
      </c>
      <c r="F21" s="78">
        <f t="shared" ref="F21:G21" si="3">F6*0.7</f>
        <v>666189.6630967441</v>
      </c>
      <c r="G21" s="78">
        <f t="shared" si="3"/>
        <v>856230.90662680648</v>
      </c>
      <c r="H21" s="128"/>
      <c r="I21" s="128"/>
    </row>
    <row r="22" spans="4:9">
      <c r="D22" s="75" t="s">
        <v>26</v>
      </c>
      <c r="E22" s="84">
        <f>SUM(E18:E21)</f>
        <v>2995720.9897192838</v>
      </c>
      <c r="F22" s="84">
        <f t="shared" ref="F22:G22" si="4">SUM(F18:F21)</f>
        <v>760284.32859435875</v>
      </c>
      <c r="G22" s="84">
        <f t="shared" si="4"/>
        <v>966888.78470401419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660001.10767792445</v>
      </c>
      <c r="F24" s="91">
        <f t="shared" ref="F24:G24" si="5">F15-F22</f>
        <v>201615.19011527568</v>
      </c>
      <c r="G24" s="91">
        <f t="shared" si="5"/>
        <v>266702.2247628523</v>
      </c>
      <c r="H24" s="133"/>
      <c r="I24" s="133"/>
    </row>
    <row r="25" spans="4:9">
      <c r="D25" s="82" t="s">
        <v>6</v>
      </c>
      <c r="E25" s="91">
        <f>E24</f>
        <v>660001.10767792445</v>
      </c>
      <c r="F25" s="91">
        <f>E25+F24</f>
        <v>861616.29779320012</v>
      </c>
      <c r="G25" s="91">
        <f>F25+G24</f>
        <v>1128318.5225560525</v>
      </c>
      <c r="H25" s="133"/>
      <c r="I25" s="133"/>
    </row>
    <row r="28" spans="4:9">
      <c r="D28" s="112" t="s">
        <v>79</v>
      </c>
      <c r="E28" s="114">
        <f>E6</f>
        <v>645722.09739720833</v>
      </c>
      <c r="F28" s="114">
        <f t="shared" ref="F28:G28" si="6">F6</f>
        <v>951699.51870963443</v>
      </c>
      <c r="G28" s="114">
        <f t="shared" si="6"/>
        <v>1223187.0094668665</v>
      </c>
      <c r="H28" s="1"/>
      <c r="I28" s="1"/>
    </row>
    <row r="29" spans="4:9">
      <c r="D29" s="112" t="s">
        <v>80</v>
      </c>
      <c r="E29" s="114">
        <f>E18</f>
        <v>36715.521541238064</v>
      </c>
      <c r="F29" s="114">
        <f t="shared" ref="F29:G29" si="7">F18</f>
        <v>39369.689562132968</v>
      </c>
      <c r="G29" s="114">
        <f t="shared" si="7"/>
        <v>42215.727603864456</v>
      </c>
      <c r="H29" s="1"/>
      <c r="I29" s="1"/>
    </row>
    <row r="30" spans="4:9">
      <c r="D30" s="112" t="s">
        <v>81</v>
      </c>
      <c r="E30" s="114">
        <f>E21</f>
        <v>452005.46817804582</v>
      </c>
      <c r="F30" s="114">
        <f t="shared" ref="F30:G30" si="8">F21</f>
        <v>666189.6630967441</v>
      </c>
      <c r="G30" s="114">
        <f t="shared" si="8"/>
        <v>856230.90662680648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T11" sqref="T11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660001.10767792445</v>
      </c>
      <c r="F7" s="78">
        <f>'Cash Flow Analysis'!F25</f>
        <v>861616.29779320012</v>
      </c>
      <c r="G7" s="78">
        <f>'Cash Flow Analysis'!G25</f>
        <v>1128318.5225560525</v>
      </c>
      <c r="H7" s="128"/>
      <c r="I7" s="128"/>
    </row>
    <row r="8" spans="4:9">
      <c r="D8" s="66" t="s">
        <v>122</v>
      </c>
      <c r="E8" s="94">
        <f>'Cash Flow Analysis'!E20</f>
        <v>2500000</v>
      </c>
      <c r="F8" s="94">
        <f>E8+'Cash Flow Analysis'!F20</f>
        <v>2547584.9759354815</v>
      </c>
      <c r="G8" s="94">
        <f>F8+'Cash Flow Analysis'!G20</f>
        <v>2608744.3264088249</v>
      </c>
      <c r="H8" s="128"/>
      <c r="I8" s="128"/>
    </row>
    <row r="9" spans="4:9">
      <c r="D9" s="72" t="s">
        <v>48</v>
      </c>
      <c r="E9" s="87">
        <f>-'Profit and Loss Statement'!E27</f>
        <v>-124014</v>
      </c>
      <c r="F9" s="87">
        <f>E9-'Profit and Loss Statement'!F27</f>
        <v>-248028</v>
      </c>
      <c r="G9" s="87">
        <f>F9-'Profit and Loss Statement'!G27</f>
        <v>-372042</v>
      </c>
      <c r="H9" s="131"/>
      <c r="I9" s="131"/>
    </row>
    <row r="10" spans="4:9">
      <c r="D10" s="95" t="s">
        <v>7</v>
      </c>
      <c r="E10" s="96">
        <f>SUM(E7:E9)</f>
        <v>3035987.1076779244</v>
      </c>
      <c r="F10" s="96">
        <f t="shared" ref="F10:G10" si="0">SUM(F7:F9)</f>
        <v>3161173.2737286817</v>
      </c>
      <c r="G10" s="96">
        <f t="shared" si="0"/>
        <v>3365020.8489648774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8"/>
      <c r="I13" s="128"/>
    </row>
    <row r="14" spans="4:9">
      <c r="D14" s="66" t="s">
        <v>73</v>
      </c>
      <c r="E14" s="94">
        <f>'Loan Amortization Table'!E25</f>
        <v>2363284.4784587622</v>
      </c>
      <c r="F14" s="94">
        <f>'Loan Amortization Table'!E37</f>
        <v>2323914.7888966296</v>
      </c>
      <c r="G14" s="94">
        <f>'Loan Amortization Table'!E49</f>
        <v>2281699.0612927652</v>
      </c>
      <c r="H14" s="128"/>
      <c r="I14" s="128"/>
    </row>
    <row r="15" spans="4:9">
      <c r="D15" s="68" t="s">
        <v>30</v>
      </c>
      <c r="E15" s="81">
        <f>SUM(E13:E14)</f>
        <v>2366284.4784587622</v>
      </c>
      <c r="F15" s="81">
        <f t="shared" ref="F15:G15" si="1">SUM(F13:F14)</f>
        <v>2329974.7888966296</v>
      </c>
      <c r="G15" s="81">
        <f t="shared" si="1"/>
        <v>2290880.2612927654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669702.62921916228</v>
      </c>
      <c r="F17" s="83">
        <f t="shared" ref="F17:G17" si="2">F10-F15</f>
        <v>831198.48483205214</v>
      </c>
      <c r="G17" s="83">
        <f t="shared" si="2"/>
        <v>1074140.587672112</v>
      </c>
      <c r="H17" s="132"/>
      <c r="I17" s="132"/>
    </row>
    <row r="18" spans="4:9">
      <c r="D18" s="82" t="s">
        <v>31</v>
      </c>
      <c r="E18" s="83">
        <f>E15+E17</f>
        <v>3035987.1076779244</v>
      </c>
      <c r="F18" s="83">
        <f t="shared" ref="F18:G18" si="3">F15+F17</f>
        <v>3161173.2737286817</v>
      </c>
      <c r="G18" s="83">
        <f t="shared" si="3"/>
        <v>3365020.8489648774</v>
      </c>
      <c r="H18" s="132"/>
      <c r="I18" s="132"/>
    </row>
    <row r="21" spans="4:9">
      <c r="D21" s="112" t="s">
        <v>82</v>
      </c>
      <c r="E21" s="114">
        <f>E10-1</f>
        <v>3035986.1076779244</v>
      </c>
      <c r="F21" s="114">
        <f t="shared" ref="F21:G21" si="4">F10-1</f>
        <v>3161172.2737286817</v>
      </c>
      <c r="G21" s="114">
        <f t="shared" si="4"/>
        <v>3365019.8489648774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2366284.4784587622</v>
      </c>
      <c r="F22" s="114">
        <f t="shared" ref="F22:G22" si="6">F15</f>
        <v>2329974.7888966296</v>
      </c>
      <c r="G22" s="114">
        <f t="shared" si="6"/>
        <v>2290880.2612927654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669702.62921916228</v>
      </c>
      <c r="F23" s="114">
        <f t="shared" ref="F23:G23" si="8">F17</f>
        <v>831198.48483205214</v>
      </c>
      <c r="G23" s="114">
        <f t="shared" si="8"/>
        <v>1074140.587672112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T11" sqref="T11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223820</v>
      </c>
      <c r="D6" s="6">
        <f>Inputs!D42</f>
        <v>223849.45</v>
      </c>
      <c r="E6" s="6">
        <f>Inputs!E42</f>
        <v>223878.9</v>
      </c>
      <c r="F6" s="6">
        <f>Inputs!F42</f>
        <v>223908.35</v>
      </c>
      <c r="G6" s="6">
        <f>Inputs!G42</f>
        <v>223937.8</v>
      </c>
      <c r="H6" s="6">
        <f>Inputs!H42</f>
        <v>223967.25</v>
      </c>
      <c r="I6" s="6">
        <f>Inputs!I42</f>
        <v>223996.7</v>
      </c>
    </row>
    <row r="7" spans="2:9">
      <c r="B7" s="31" t="s">
        <v>52</v>
      </c>
      <c r="C7" s="6">
        <f>Inputs!C61</f>
        <v>15846</v>
      </c>
      <c r="D7" s="6">
        <f>Inputs!D61</f>
        <v>15848.084999999999</v>
      </c>
      <c r="E7" s="6">
        <f>Inputs!E61</f>
        <v>15850.17</v>
      </c>
      <c r="F7" s="6">
        <f>Inputs!F61</f>
        <v>15852.254999999997</v>
      </c>
      <c r="G7" s="6">
        <f>Inputs!G61</f>
        <v>15854.34</v>
      </c>
      <c r="H7" s="6">
        <f>Inputs!H61</f>
        <v>15856.424999999999</v>
      </c>
      <c r="I7" s="6">
        <f>Inputs!I61</f>
        <v>15858.509999999998</v>
      </c>
    </row>
    <row r="8" spans="2:9">
      <c r="B8" s="29" t="s">
        <v>12</v>
      </c>
      <c r="C8" s="17">
        <f>1-(C7/C6)</f>
        <v>0.92920203735144313</v>
      </c>
      <c r="D8" s="17">
        <f t="shared" ref="D8:I8" si="1">1-(D7/D6)</f>
        <v>0.92920203735144313</v>
      </c>
      <c r="E8" s="17">
        <f t="shared" si="1"/>
        <v>0.92920203735144313</v>
      </c>
      <c r="F8" s="17">
        <f t="shared" si="1"/>
        <v>0.92920203735144313</v>
      </c>
      <c r="G8" s="17">
        <f t="shared" si="1"/>
        <v>0.92920203735144313</v>
      </c>
      <c r="H8" s="17">
        <f t="shared" si="1"/>
        <v>0.92920203735144313</v>
      </c>
      <c r="I8" s="17">
        <f t="shared" si="1"/>
        <v>0.92920203735144313</v>
      </c>
    </row>
    <row r="9" spans="2:9">
      <c r="B9" s="30"/>
    </row>
    <row r="10" spans="2:9">
      <c r="B10" s="37" t="s">
        <v>10</v>
      </c>
      <c r="C10" s="6">
        <f>C6-C7</f>
        <v>207974</v>
      </c>
      <c r="D10" s="6">
        <f t="shared" ref="D10:I10" si="2">D6-D7</f>
        <v>208001.36500000002</v>
      </c>
      <c r="E10" s="6">
        <f t="shared" si="2"/>
        <v>208028.72999999998</v>
      </c>
      <c r="F10" s="6">
        <f t="shared" si="2"/>
        <v>208056.095</v>
      </c>
      <c r="G10" s="6">
        <f t="shared" si="2"/>
        <v>208083.46</v>
      </c>
      <c r="H10" s="6">
        <f t="shared" si="2"/>
        <v>208110.82500000001</v>
      </c>
      <c r="I10" s="6">
        <f t="shared" si="2"/>
        <v>208138.19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80000</v>
      </c>
      <c r="D13" s="6">
        <f t="shared" ref="D13:I13" si="3">$H$41/12</f>
        <v>80000</v>
      </c>
      <c r="E13" s="6">
        <f t="shared" si="3"/>
        <v>80000</v>
      </c>
      <c r="F13" s="6">
        <f t="shared" si="3"/>
        <v>80000</v>
      </c>
      <c r="G13" s="6">
        <f t="shared" si="3"/>
        <v>80000</v>
      </c>
      <c r="H13" s="6">
        <f t="shared" si="3"/>
        <v>80000</v>
      </c>
      <c r="I13" s="6">
        <f t="shared" si="3"/>
        <v>80000</v>
      </c>
    </row>
    <row r="14" spans="2:9">
      <c r="B14" s="33" t="str">
        <f>'Profit and Loss Statement'!D14</f>
        <v>Facility Costs</v>
      </c>
      <c r="C14" s="6">
        <f>$H$42/12</f>
        <v>20833.333333333332</v>
      </c>
      <c r="D14" s="6">
        <f t="shared" ref="D14:I14" si="4">$H$42/12</f>
        <v>20833.333333333332</v>
      </c>
      <c r="E14" s="6">
        <f t="shared" si="4"/>
        <v>20833.333333333332</v>
      </c>
      <c r="F14" s="6">
        <f t="shared" si="4"/>
        <v>20833.333333333332</v>
      </c>
      <c r="G14" s="6">
        <f t="shared" si="4"/>
        <v>20833.333333333332</v>
      </c>
      <c r="H14" s="6">
        <f t="shared" si="4"/>
        <v>20833.333333333332</v>
      </c>
      <c r="I14" s="6">
        <f t="shared" si="4"/>
        <v>20833.333333333332</v>
      </c>
    </row>
    <row r="15" spans="2:9">
      <c r="B15" s="33" t="str">
        <f>'Profit and Loss Statement'!D15</f>
        <v>General and Administrative</v>
      </c>
      <c r="C15" s="6">
        <f>$H$43/12</f>
        <v>3516.5170075000001</v>
      </c>
      <c r="D15" s="6">
        <f t="shared" ref="D15:I15" si="5">$H$43/12</f>
        <v>3516.5170075000001</v>
      </c>
      <c r="E15" s="6">
        <f t="shared" si="5"/>
        <v>3516.5170075000001</v>
      </c>
      <c r="F15" s="6">
        <f t="shared" si="5"/>
        <v>3516.5170075000001</v>
      </c>
      <c r="G15" s="6">
        <f t="shared" si="5"/>
        <v>3516.5170075000001</v>
      </c>
      <c r="H15" s="6">
        <f t="shared" si="5"/>
        <v>3516.5170075000001</v>
      </c>
      <c r="I15" s="6">
        <f t="shared" si="5"/>
        <v>3516.5170075000001</v>
      </c>
    </row>
    <row r="16" spans="2:9">
      <c r="B16" s="33" t="str">
        <f>'Profit and Loss Statement'!D16</f>
        <v>Equipment Costs</v>
      </c>
      <c r="C16" s="6">
        <f>$H$44/12</f>
        <v>3404.5260199999998</v>
      </c>
      <c r="D16" s="6">
        <f t="shared" ref="D16:I16" si="6">$H$44/12</f>
        <v>3404.5260199999998</v>
      </c>
      <c r="E16" s="6">
        <f t="shared" si="6"/>
        <v>3404.5260199999998</v>
      </c>
      <c r="F16" s="6">
        <f t="shared" si="6"/>
        <v>3404.5260199999998</v>
      </c>
      <c r="G16" s="6">
        <f t="shared" si="6"/>
        <v>3404.5260199999998</v>
      </c>
      <c r="H16" s="6">
        <f t="shared" si="6"/>
        <v>3404.5260199999998</v>
      </c>
      <c r="I16" s="6">
        <f t="shared" si="6"/>
        <v>3404.5260199999998</v>
      </c>
    </row>
    <row r="17" spans="2:9">
      <c r="B17" s="33" t="str">
        <f>'Profit and Loss Statement'!D17</f>
        <v>Insurance Costs</v>
      </c>
      <c r="C17" s="6">
        <f>$H$45/12</f>
        <v>4800</v>
      </c>
      <c r="D17" s="6">
        <f t="shared" ref="D17:I17" si="7">$H$45/12</f>
        <v>4800</v>
      </c>
      <c r="E17" s="6">
        <f t="shared" si="7"/>
        <v>4800</v>
      </c>
      <c r="F17" s="6">
        <f t="shared" si="7"/>
        <v>4800</v>
      </c>
      <c r="G17" s="6">
        <f t="shared" si="7"/>
        <v>4800</v>
      </c>
      <c r="H17" s="6">
        <f t="shared" si="7"/>
        <v>4800</v>
      </c>
      <c r="I17" s="6">
        <f t="shared" si="7"/>
        <v>4800</v>
      </c>
    </row>
    <row r="18" spans="2:9">
      <c r="B18" s="33" t="str">
        <f>'Profit and Loss Statement'!D18</f>
        <v>Marketing</v>
      </c>
      <c r="C18" s="6">
        <f>$H$46/12</f>
        <v>2687.7837000000004</v>
      </c>
      <c r="D18" s="6">
        <f t="shared" ref="D18:I18" si="8">$H$46/12</f>
        <v>2687.7837000000004</v>
      </c>
      <c r="E18" s="6">
        <f t="shared" si="8"/>
        <v>2687.7837000000004</v>
      </c>
      <c r="F18" s="6">
        <f t="shared" si="8"/>
        <v>2687.7837000000004</v>
      </c>
      <c r="G18" s="6">
        <f t="shared" si="8"/>
        <v>2687.7837000000004</v>
      </c>
      <c r="H18" s="6">
        <f t="shared" si="8"/>
        <v>2687.7837000000004</v>
      </c>
      <c r="I18" s="6">
        <f t="shared" si="8"/>
        <v>2687.7837000000004</v>
      </c>
    </row>
    <row r="19" spans="2:9">
      <c r="B19" s="33" t="str">
        <f>'Profit and Loss Statement'!D19</f>
        <v>Professional Fees and Licensure</v>
      </c>
      <c r="C19" s="6">
        <f>$H$47/12</f>
        <v>416.66666666666669</v>
      </c>
      <c r="D19" s="6">
        <f t="shared" ref="D19:I19" si="9">$H$47/12</f>
        <v>416.66666666666669</v>
      </c>
      <c r="E19" s="6">
        <f t="shared" si="9"/>
        <v>416.66666666666669</v>
      </c>
      <c r="F19" s="6">
        <f t="shared" si="9"/>
        <v>416.66666666666669</v>
      </c>
      <c r="G19" s="6">
        <f t="shared" si="9"/>
        <v>416.66666666666669</v>
      </c>
      <c r="H19" s="6">
        <f t="shared" si="9"/>
        <v>416.66666666666669</v>
      </c>
      <c r="I19" s="6">
        <f t="shared" si="9"/>
        <v>416.66666666666669</v>
      </c>
    </row>
    <row r="20" spans="2:9">
      <c r="B20" s="29" t="s">
        <v>14</v>
      </c>
      <c r="C20" s="6">
        <f>$H$48/12</f>
        <v>6120</v>
      </c>
      <c r="D20" s="6">
        <f t="shared" ref="D20:I20" si="10">$H$48/12</f>
        <v>6120</v>
      </c>
      <c r="E20" s="6">
        <f t="shared" si="10"/>
        <v>6120</v>
      </c>
      <c r="F20" s="6">
        <f t="shared" si="10"/>
        <v>6120</v>
      </c>
      <c r="G20" s="6">
        <f t="shared" si="10"/>
        <v>6120</v>
      </c>
      <c r="H20" s="6">
        <f t="shared" si="10"/>
        <v>6120</v>
      </c>
      <c r="I20" s="6">
        <f t="shared" si="10"/>
        <v>6120</v>
      </c>
    </row>
    <row r="21" spans="2:9">
      <c r="B21" s="28" t="s">
        <v>8</v>
      </c>
      <c r="C21" s="6">
        <f>SUM(C13:C20)</f>
        <v>121778.82672750001</v>
      </c>
      <c r="D21" s="6">
        <f t="shared" ref="D21:I21" si="11">SUM(D13:D20)</f>
        <v>121778.82672750001</v>
      </c>
      <c r="E21" s="6">
        <f t="shared" si="11"/>
        <v>121778.82672750001</v>
      </c>
      <c r="F21" s="6">
        <f t="shared" si="11"/>
        <v>121778.82672750001</v>
      </c>
      <c r="G21" s="6">
        <f t="shared" si="11"/>
        <v>121778.82672750001</v>
      </c>
      <c r="H21" s="6">
        <f t="shared" si="11"/>
        <v>121778.82672750001</v>
      </c>
      <c r="I21" s="6">
        <f t="shared" si="11"/>
        <v>121778.82672750001</v>
      </c>
    </row>
    <row r="22" spans="2:9">
      <c r="B22" s="30"/>
    </row>
    <row r="23" spans="2:9">
      <c r="B23" s="24" t="s">
        <v>47</v>
      </c>
      <c r="C23" s="25">
        <f>C10-C21</f>
        <v>86195.173272499989</v>
      </c>
      <c r="D23" s="25">
        <f t="shared" ref="D23:I23" si="12">D10-D21</f>
        <v>86222.538272500009</v>
      </c>
      <c r="E23" s="25">
        <f t="shared" si="12"/>
        <v>86249.903272499971</v>
      </c>
      <c r="F23" s="25">
        <f t="shared" si="12"/>
        <v>86277.26827249999</v>
      </c>
      <c r="G23" s="25">
        <f t="shared" si="12"/>
        <v>86304.633272499981</v>
      </c>
      <c r="H23" s="25">
        <f t="shared" si="12"/>
        <v>86331.998272500001</v>
      </c>
      <c r="I23" s="25">
        <f t="shared" si="12"/>
        <v>86359.363272499992</v>
      </c>
    </row>
    <row r="24" spans="2:9">
      <c r="B24" s="29" t="s">
        <v>15</v>
      </c>
      <c r="C24" s="6">
        <f>(C6/$H$34)*$H$52</f>
        <v>15515.79817010083</v>
      </c>
      <c r="D24" s="6">
        <f t="shared" ref="D24:I24" si="13">(D6/$H$34)*$H$52</f>
        <v>15517.839722491633</v>
      </c>
      <c r="E24" s="6">
        <f t="shared" si="13"/>
        <v>15519.881274882437</v>
      </c>
      <c r="F24" s="6">
        <f t="shared" si="13"/>
        <v>15521.92282727324</v>
      </c>
      <c r="G24" s="6">
        <f t="shared" si="13"/>
        <v>15523.964379664041</v>
      </c>
      <c r="H24" s="6">
        <f t="shared" si="13"/>
        <v>15526.005932054844</v>
      </c>
      <c r="I24" s="6">
        <f t="shared" si="13"/>
        <v>15528.047484445648</v>
      </c>
    </row>
    <row r="25" spans="2:9">
      <c r="B25" s="29" t="s">
        <v>101</v>
      </c>
      <c r="C25" s="6">
        <f>(C6/$H$34)*$H$53</f>
        <v>3103.1596340201659</v>
      </c>
      <c r="D25" s="6">
        <f t="shared" ref="D25:I25" si="14">(D6/$H$34)*$H$53</f>
        <v>3103.5679444983266</v>
      </c>
      <c r="E25" s="6">
        <f t="shared" si="14"/>
        <v>3103.9762549764873</v>
      </c>
      <c r="F25" s="6">
        <f t="shared" si="14"/>
        <v>3104.3845654546481</v>
      </c>
      <c r="G25" s="6">
        <f t="shared" si="14"/>
        <v>3104.7928759328083</v>
      </c>
      <c r="H25" s="6">
        <f t="shared" si="14"/>
        <v>3105.2011864109691</v>
      </c>
      <c r="I25" s="6">
        <f t="shared" si="14"/>
        <v>3105.6094968891298</v>
      </c>
    </row>
    <row r="26" spans="2:9">
      <c r="B26" s="29" t="s">
        <v>16</v>
      </c>
      <c r="C26" s="6">
        <f>'Loan Amortization Table'!D14</f>
        <v>14000</v>
      </c>
      <c r="D26" s="6">
        <f>'Loan Amortization Table'!D15</f>
        <v>13982.717579048154</v>
      </c>
      <c r="E26" s="6">
        <f>'Loan Amortization Table'!D16</f>
        <v>13965.334343974087</v>
      </c>
      <c r="F26" s="6">
        <f>'Loan Amortization Table'!D17</f>
        <v>13947.849706695422</v>
      </c>
      <c r="G26" s="6">
        <f>'Loan Amortization Table'!D18</f>
        <v>13930.2630756993</v>
      </c>
      <c r="H26" s="6">
        <f>'Loan Amortization Table'!D19</f>
        <v>13912.573856022367</v>
      </c>
      <c r="I26" s="6">
        <f>'Loan Amortization Table'!D20</f>
        <v>13894.781449230653</v>
      </c>
    </row>
    <row r="27" spans="2:9">
      <c r="B27" s="29" t="s">
        <v>54</v>
      </c>
      <c r="C27" s="6">
        <f>$H$55/12</f>
        <v>10334.5</v>
      </c>
      <c r="D27" s="6">
        <f t="shared" ref="D27:I27" si="15">$H$55/12</f>
        <v>10334.5</v>
      </c>
      <c r="E27" s="6">
        <f t="shared" si="15"/>
        <v>10334.5</v>
      </c>
      <c r="F27" s="6">
        <f t="shared" si="15"/>
        <v>10334.5</v>
      </c>
      <c r="G27" s="6">
        <f t="shared" si="15"/>
        <v>10334.5</v>
      </c>
      <c r="H27" s="6">
        <f t="shared" si="15"/>
        <v>10334.5</v>
      </c>
      <c r="I27" s="6">
        <f t="shared" si="15"/>
        <v>10334.5</v>
      </c>
    </row>
    <row r="28" spans="2:9">
      <c r="B28" s="38" t="s">
        <v>17</v>
      </c>
      <c r="C28" s="39">
        <f>C23-SUM(C24:C27)</f>
        <v>43241.715468378992</v>
      </c>
      <c r="D28" s="39">
        <f t="shared" ref="D28:I28" si="16">D23-SUM(D24:D27)</f>
        <v>43283.913026461894</v>
      </c>
      <c r="E28" s="39">
        <f t="shared" si="16"/>
        <v>43326.211398666957</v>
      </c>
      <c r="F28" s="39">
        <f t="shared" si="16"/>
        <v>43368.611173076679</v>
      </c>
      <c r="G28" s="39">
        <f t="shared" si="16"/>
        <v>43411.112941203828</v>
      </c>
      <c r="H28" s="39">
        <f t="shared" si="16"/>
        <v>43453.717298011819</v>
      </c>
      <c r="I28" s="39">
        <f t="shared" si="16"/>
        <v>43496.42484193456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224026.15</v>
      </c>
      <c r="D34" s="6">
        <f>Inputs!K42</f>
        <v>224055.6</v>
      </c>
      <c r="E34" s="6">
        <f>Inputs!L42</f>
        <v>224085.05</v>
      </c>
      <c r="F34" s="6">
        <f>Inputs!M42</f>
        <v>224114.5</v>
      </c>
      <c r="G34" s="6">
        <f>Inputs!N42</f>
        <v>224143.95</v>
      </c>
      <c r="H34" s="6">
        <f>'Profit and Loss Statement'!E6</f>
        <v>2687783.7</v>
      </c>
    </row>
    <row r="35" spans="2:8">
      <c r="B35" s="31" t="s">
        <v>52</v>
      </c>
      <c r="C35" s="6">
        <f>Inputs!J61</f>
        <v>15860.595000000001</v>
      </c>
      <c r="D35" s="6">
        <f>Inputs!K61</f>
        <v>15862.679999999998</v>
      </c>
      <c r="E35" s="6">
        <f>Inputs!L61</f>
        <v>15864.764999999999</v>
      </c>
      <c r="F35" s="6">
        <f>Inputs!M61</f>
        <v>15866.849999999999</v>
      </c>
      <c r="G35" s="6">
        <f>Inputs!N61</f>
        <v>15868.934999999999</v>
      </c>
      <c r="H35" s="6">
        <f>'Profit and Loss Statement'!E7</f>
        <v>190289.61</v>
      </c>
    </row>
    <row r="36" spans="2:8">
      <c r="B36" s="29" t="s">
        <v>12</v>
      </c>
      <c r="C36" s="17">
        <f>1-(C35/C34)</f>
        <v>0.92920203735144313</v>
      </c>
      <c r="D36" s="17">
        <f t="shared" ref="D36:H36" si="18">1-(D35/D34)</f>
        <v>0.92920203735144313</v>
      </c>
      <c r="E36" s="17">
        <f t="shared" si="18"/>
        <v>0.92920203735144313</v>
      </c>
      <c r="F36" s="17">
        <f t="shared" si="18"/>
        <v>0.92920203735144313</v>
      </c>
      <c r="G36" s="17">
        <f t="shared" si="18"/>
        <v>0.92920203735144313</v>
      </c>
      <c r="H36" s="17">
        <f t="shared" si="18"/>
        <v>0.92920203735144313</v>
      </c>
    </row>
    <row r="37" spans="2:8">
      <c r="B37" s="30"/>
    </row>
    <row r="38" spans="2:8">
      <c r="B38" s="37" t="s">
        <v>10</v>
      </c>
      <c r="C38" s="6">
        <f>C34-C35</f>
        <v>208165.55499999999</v>
      </c>
      <c r="D38" s="6">
        <f t="shared" ref="D38:H38" si="19">D34-D35</f>
        <v>208192.92</v>
      </c>
      <c r="E38" s="6">
        <f t="shared" si="19"/>
        <v>208220.28499999997</v>
      </c>
      <c r="F38" s="6">
        <f t="shared" si="19"/>
        <v>208247.65</v>
      </c>
      <c r="G38" s="6">
        <f t="shared" si="19"/>
        <v>208275.01500000001</v>
      </c>
      <c r="H38" s="6">
        <f t="shared" si="19"/>
        <v>2497494.0900000003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80000</v>
      </c>
      <c r="D41" s="6">
        <f t="shared" ref="D41:G41" si="20">$H$41/12</f>
        <v>80000</v>
      </c>
      <c r="E41" s="6">
        <f t="shared" si="20"/>
        <v>80000</v>
      </c>
      <c r="F41" s="6">
        <f t="shared" si="20"/>
        <v>80000</v>
      </c>
      <c r="G41" s="6">
        <f t="shared" si="20"/>
        <v>80000</v>
      </c>
      <c r="H41" s="6">
        <f>'Profit and Loss Statement'!E13</f>
        <v>960000</v>
      </c>
    </row>
    <row r="42" spans="2:8">
      <c r="B42" s="33" t="str">
        <f>B14</f>
        <v>Facility Costs</v>
      </c>
      <c r="C42" s="6">
        <f>$H$42/12</f>
        <v>20833.333333333332</v>
      </c>
      <c r="D42" s="6">
        <f t="shared" ref="D42:G42" si="21">$H$42/12</f>
        <v>20833.333333333332</v>
      </c>
      <c r="E42" s="6">
        <f t="shared" si="21"/>
        <v>20833.333333333332</v>
      </c>
      <c r="F42" s="6">
        <f t="shared" si="21"/>
        <v>20833.333333333332</v>
      </c>
      <c r="G42" s="6">
        <f t="shared" si="21"/>
        <v>20833.333333333332</v>
      </c>
      <c r="H42" s="6">
        <f>'Profit and Loss Statement'!E14</f>
        <v>250000</v>
      </c>
    </row>
    <row r="43" spans="2:8">
      <c r="B43" s="33" t="str">
        <f t="shared" ref="B43:B47" si="22">B15</f>
        <v>General and Administrative</v>
      </c>
      <c r="C43" s="6">
        <f>$H$43/12</f>
        <v>3516.5170075000001</v>
      </c>
      <c r="D43" s="6">
        <f t="shared" ref="D43:G43" si="23">$H$43/12</f>
        <v>3516.5170075000001</v>
      </c>
      <c r="E43" s="6">
        <f t="shared" si="23"/>
        <v>3516.5170075000001</v>
      </c>
      <c r="F43" s="6">
        <f t="shared" si="23"/>
        <v>3516.5170075000001</v>
      </c>
      <c r="G43" s="6">
        <f t="shared" si="23"/>
        <v>3516.5170075000001</v>
      </c>
      <c r="H43" s="6">
        <f>'Profit and Loss Statement'!E15</f>
        <v>42198.204089999999</v>
      </c>
    </row>
    <row r="44" spans="2:8">
      <c r="B44" s="33" t="str">
        <f t="shared" si="22"/>
        <v>Equipment Costs</v>
      </c>
      <c r="C44" s="6">
        <f>$H$44/12</f>
        <v>3404.5260199999998</v>
      </c>
      <c r="D44" s="6">
        <f t="shared" ref="D44:G44" si="24">$H$44/12</f>
        <v>3404.5260199999998</v>
      </c>
      <c r="E44" s="6">
        <f t="shared" si="24"/>
        <v>3404.5260199999998</v>
      </c>
      <c r="F44" s="6">
        <f t="shared" si="24"/>
        <v>3404.5260199999998</v>
      </c>
      <c r="G44" s="6">
        <f t="shared" si="24"/>
        <v>3404.5260199999998</v>
      </c>
      <c r="H44" s="6">
        <f>'Profit and Loss Statement'!E16</f>
        <v>40854.312239999999</v>
      </c>
    </row>
    <row r="45" spans="2:8">
      <c r="B45" s="33" t="str">
        <f t="shared" si="22"/>
        <v>Insurance Costs</v>
      </c>
      <c r="C45" s="6">
        <f>$H$45/12</f>
        <v>4800</v>
      </c>
      <c r="D45" s="6">
        <f t="shared" ref="D45:G45" si="25">$H$45/12</f>
        <v>4800</v>
      </c>
      <c r="E45" s="6">
        <f t="shared" si="25"/>
        <v>4800</v>
      </c>
      <c r="F45" s="6">
        <f t="shared" si="25"/>
        <v>4800</v>
      </c>
      <c r="G45" s="6">
        <f t="shared" si="25"/>
        <v>4800</v>
      </c>
      <c r="H45" s="6">
        <f>'Profit and Loss Statement'!E17</f>
        <v>57600</v>
      </c>
    </row>
    <row r="46" spans="2:8">
      <c r="B46" s="33" t="str">
        <f t="shared" si="22"/>
        <v>Marketing</v>
      </c>
      <c r="C46" s="6">
        <f>$H$46/12</f>
        <v>2687.7837000000004</v>
      </c>
      <c r="D46" s="6">
        <f t="shared" ref="D46:G46" si="26">$H$46/12</f>
        <v>2687.7837000000004</v>
      </c>
      <c r="E46" s="6">
        <f t="shared" si="26"/>
        <v>2687.7837000000004</v>
      </c>
      <c r="F46" s="6">
        <f t="shared" si="26"/>
        <v>2687.7837000000004</v>
      </c>
      <c r="G46" s="6">
        <f t="shared" si="26"/>
        <v>2687.7837000000004</v>
      </c>
      <c r="H46" s="6">
        <f>'Profit and Loss Statement'!E18</f>
        <v>32253.404400000003</v>
      </c>
    </row>
    <row r="47" spans="2:8">
      <c r="B47" s="33" t="str">
        <f t="shared" si="22"/>
        <v>Professional Fees and Licensure</v>
      </c>
      <c r="C47" s="6">
        <f>$H$47/12</f>
        <v>416.66666666666669</v>
      </c>
      <c r="D47" s="6">
        <f t="shared" ref="D47:G47" si="27">$H$47/12</f>
        <v>416.66666666666669</v>
      </c>
      <c r="E47" s="6">
        <f t="shared" si="27"/>
        <v>416.66666666666669</v>
      </c>
      <c r="F47" s="6">
        <f t="shared" si="27"/>
        <v>416.66666666666669</v>
      </c>
      <c r="G47" s="6">
        <f t="shared" si="27"/>
        <v>416.66666666666669</v>
      </c>
      <c r="H47" s="6">
        <f>'Profit and Loss Statement'!E19</f>
        <v>5000</v>
      </c>
    </row>
    <row r="48" spans="2:8">
      <c r="B48" s="29" t="s">
        <v>14</v>
      </c>
      <c r="C48" s="6">
        <f>$H$48/12</f>
        <v>6120</v>
      </c>
      <c r="D48" s="6">
        <f t="shared" ref="D48:G48" si="28">$H$48/12</f>
        <v>6120</v>
      </c>
      <c r="E48" s="6">
        <f t="shared" si="28"/>
        <v>6120</v>
      </c>
      <c r="F48" s="6">
        <f t="shared" si="28"/>
        <v>6120</v>
      </c>
      <c r="G48" s="6">
        <f t="shared" si="28"/>
        <v>6120</v>
      </c>
      <c r="H48" s="6">
        <f>'Profit and Loss Statement'!E20</f>
        <v>73440</v>
      </c>
    </row>
    <row r="49" spans="2:15">
      <c r="B49" s="28" t="s">
        <v>8</v>
      </c>
      <c r="C49" s="6">
        <f>SUM(C41:C48)</f>
        <v>121778.82672750001</v>
      </c>
      <c r="D49" s="6">
        <f t="shared" ref="D49:G49" si="29">SUM(D41:D48)</f>
        <v>121778.82672750001</v>
      </c>
      <c r="E49" s="6">
        <f t="shared" si="29"/>
        <v>121778.82672750001</v>
      </c>
      <c r="F49" s="6">
        <f t="shared" si="29"/>
        <v>121778.82672750001</v>
      </c>
      <c r="G49" s="6">
        <f t="shared" si="29"/>
        <v>121778.82672750001</v>
      </c>
      <c r="H49" s="6">
        <f>'Profit and Loss Statement'!E21</f>
        <v>1461345.9207300001</v>
      </c>
    </row>
    <row r="50" spans="2:15">
      <c r="B50" s="30"/>
    </row>
    <row r="51" spans="2:15">
      <c r="B51" s="24" t="s">
        <v>47</v>
      </c>
      <c r="C51" s="25">
        <f>C38-C49</f>
        <v>86386.728272499982</v>
      </c>
      <c r="D51" s="25">
        <f t="shared" ref="D51:H51" si="30">D38-D49</f>
        <v>86414.093272500002</v>
      </c>
      <c r="E51" s="25">
        <f t="shared" si="30"/>
        <v>86441.458272499964</v>
      </c>
      <c r="F51" s="25">
        <f t="shared" si="30"/>
        <v>86468.823272499983</v>
      </c>
      <c r="G51" s="25">
        <f t="shared" si="30"/>
        <v>86496.188272500003</v>
      </c>
      <c r="H51" s="25">
        <f t="shared" si="30"/>
        <v>1036148.1692700002</v>
      </c>
    </row>
    <row r="52" spans="2:15">
      <c r="B52" s="29" t="s">
        <v>15</v>
      </c>
      <c r="C52" s="6">
        <f>(C34/$H$34)*$H$52</f>
        <v>15530.089036836449</v>
      </c>
      <c r="D52" s="6">
        <f t="shared" ref="D52:G52" si="31">(D34/$H$34)*$H$52</f>
        <v>15532.130589227252</v>
      </c>
      <c r="E52" s="6">
        <f t="shared" si="31"/>
        <v>15534.172141618055</v>
      </c>
      <c r="F52" s="6">
        <f t="shared" si="31"/>
        <v>15536.213694008859</v>
      </c>
      <c r="G52" s="6">
        <f t="shared" si="31"/>
        <v>15538.255246399662</v>
      </c>
      <c r="H52" s="6">
        <f>'Profit and Loss Statement'!E24</f>
        <v>186324.32049900296</v>
      </c>
    </row>
    <row r="53" spans="2:15">
      <c r="B53" s="29" t="s">
        <v>101</v>
      </c>
      <c r="C53" s="6">
        <f>(C34/$H$34)*$H$53</f>
        <v>3106.0178073672896</v>
      </c>
      <c r="D53" s="6">
        <f t="shared" ref="D53:G53" si="32">(D34/$H$34)*$H$53</f>
        <v>3106.4261178454503</v>
      </c>
      <c r="E53" s="6">
        <f t="shared" si="32"/>
        <v>3106.8344283236111</v>
      </c>
      <c r="F53" s="6">
        <f t="shared" si="32"/>
        <v>3107.2427388017718</v>
      </c>
      <c r="G53" s="6">
        <f t="shared" si="32"/>
        <v>3107.6510492799325</v>
      </c>
      <c r="H53" s="6">
        <f>'Profit and Loss Statement'!E25</f>
        <v>37264.864099800594</v>
      </c>
    </row>
    <row r="54" spans="2:15">
      <c r="B54" s="29" t="s">
        <v>16</v>
      </c>
      <c r="C54" s="6">
        <f>'Loan Amortization Table'!D21</f>
        <v>13876.885253399319</v>
      </c>
      <c r="D54" s="6">
        <f>'Loan Amortization Table'!D22</f>
        <v>13858.884663092304</v>
      </c>
      <c r="E54" s="6">
        <f>'Loan Amortization Table'!D23</f>
        <v>13840.77906934183</v>
      </c>
      <c r="F54" s="6">
        <f>'Loan Amortization Table'!D24</f>
        <v>13822.56785962781</v>
      </c>
      <c r="G54" s="6">
        <f>'Loan Amortization Table'!D25</f>
        <v>13804.250417857125</v>
      </c>
      <c r="H54" s="6">
        <f>'Profit and Loss Statement'!E26</f>
        <v>166836.88727398834</v>
      </c>
    </row>
    <row r="55" spans="2:15">
      <c r="B55" s="29" t="s">
        <v>54</v>
      </c>
      <c r="C55" s="6">
        <f>$H$55/12</f>
        <v>10334.5</v>
      </c>
      <c r="D55" s="6">
        <f t="shared" ref="D55:G55" si="33">$H$55/12</f>
        <v>10334.5</v>
      </c>
      <c r="E55" s="6">
        <f t="shared" si="33"/>
        <v>10334.5</v>
      </c>
      <c r="F55" s="6">
        <f t="shared" si="33"/>
        <v>10334.5</v>
      </c>
      <c r="G55" s="6">
        <f t="shared" si="33"/>
        <v>10334.5</v>
      </c>
      <c r="H55" s="6">
        <f>'Profit and Loss Statement'!E27</f>
        <v>124014</v>
      </c>
    </row>
    <row r="56" spans="2:15">
      <c r="B56" s="38" t="s">
        <v>17</v>
      </c>
      <c r="C56" s="39">
        <f>C51-SUM(C52:C55)</f>
        <v>43539.236174896927</v>
      </c>
      <c r="D56" s="39">
        <f t="shared" ref="D56:G56" si="34">D51-SUM(D52:D55)</f>
        <v>43582.151902334997</v>
      </c>
      <c r="E56" s="39">
        <f t="shared" si="34"/>
        <v>43625.172633216469</v>
      </c>
      <c r="F56" s="39">
        <f t="shared" si="34"/>
        <v>43668.29898006154</v>
      </c>
      <c r="G56" s="39">
        <f t="shared" si="34"/>
        <v>43711.531558963281</v>
      </c>
      <c r="H56" s="39">
        <f>'Profit and Loss Statement'!E28</f>
        <v>521708.09739720833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806335.11</v>
      </c>
      <c r="D62" s="6">
        <f t="shared" ref="D62:F62" si="38">$G$62*M62</f>
        <v>806335.11</v>
      </c>
      <c r="E62" s="6">
        <f t="shared" si="38"/>
        <v>806335.11</v>
      </c>
      <c r="F62" s="6">
        <f t="shared" si="38"/>
        <v>806335.11</v>
      </c>
      <c r="G62" s="6">
        <f>'Profit and Loss Statement'!F6</f>
        <v>3225340.44</v>
      </c>
      <c r="K62" s="4" t="s">
        <v>112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57086.883000000002</v>
      </c>
      <c r="D63" s="6">
        <f t="shared" ref="D63:F63" si="39">$G$63*M62</f>
        <v>57086.883000000002</v>
      </c>
      <c r="E63" s="6">
        <f t="shared" si="39"/>
        <v>57086.883000000002</v>
      </c>
      <c r="F63" s="6">
        <f t="shared" si="39"/>
        <v>57086.883000000002</v>
      </c>
      <c r="G63" s="6">
        <f>'Profit and Loss Statement'!F7</f>
        <v>228347.53200000001</v>
      </c>
    </row>
    <row r="64" spans="2:15">
      <c r="B64" s="29" t="s">
        <v>12</v>
      </c>
      <c r="C64" s="17">
        <f>1-(C63/C62)</f>
        <v>0.92920203735144313</v>
      </c>
      <c r="D64" s="17">
        <f t="shared" ref="D64" si="40">1-(D63/D62)</f>
        <v>0.92920203735144313</v>
      </c>
      <c r="E64" s="17">
        <f t="shared" ref="E64" si="41">1-(E63/E62)</f>
        <v>0.92920203735144313</v>
      </c>
      <c r="F64" s="17">
        <f t="shared" ref="F64:G64" si="42">1-(F63/F62)</f>
        <v>0.92920203735144313</v>
      </c>
      <c r="G64" s="17">
        <f t="shared" si="42"/>
        <v>0.92920203735144313</v>
      </c>
    </row>
    <row r="65" spans="2:7">
      <c r="B65" s="30"/>
    </row>
    <row r="66" spans="2:7">
      <c r="B66" s="37" t="s">
        <v>10</v>
      </c>
      <c r="C66" s="6">
        <f>C62-C63</f>
        <v>749248.22699999996</v>
      </c>
      <c r="D66" s="6">
        <f t="shared" ref="D66:G66" si="43">D62-D63</f>
        <v>749248.22699999996</v>
      </c>
      <c r="E66" s="6">
        <f t="shared" si="43"/>
        <v>749248.22699999996</v>
      </c>
      <c r="F66" s="6">
        <f t="shared" si="43"/>
        <v>749248.22699999996</v>
      </c>
      <c r="G66" s="6">
        <f t="shared" si="43"/>
        <v>2996992.9079999998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247200</v>
      </c>
      <c r="D69" s="6">
        <f t="shared" ref="D69:F69" si="44">$G$69/4</f>
        <v>247200</v>
      </c>
      <c r="E69" s="6">
        <f t="shared" si="44"/>
        <v>247200</v>
      </c>
      <c r="F69" s="6">
        <f t="shared" si="44"/>
        <v>247200</v>
      </c>
      <c r="G69" s="6">
        <f>'Profit and Loss Statement'!F13</f>
        <v>988800</v>
      </c>
    </row>
    <row r="70" spans="2:7">
      <c r="B70" s="33" t="str">
        <f>B42</f>
        <v>Facility Costs</v>
      </c>
      <c r="C70" s="6">
        <f>$G$70/4</f>
        <v>64375</v>
      </c>
      <c r="D70" s="6">
        <f t="shared" ref="D70:F70" si="45">$G$70/4</f>
        <v>64375</v>
      </c>
      <c r="E70" s="6">
        <f t="shared" si="45"/>
        <v>64375</v>
      </c>
      <c r="F70" s="6">
        <f t="shared" si="45"/>
        <v>64375</v>
      </c>
      <c r="G70" s="6">
        <f>'Profit and Loss Statement'!F14</f>
        <v>257500</v>
      </c>
    </row>
    <row r="71" spans="2:7">
      <c r="B71" s="33" t="str">
        <f t="shared" ref="B71:B75" si="46">B43</f>
        <v>General and Administrative</v>
      </c>
      <c r="C71" s="6">
        <f>$G$71/4</f>
        <v>12659.461226999998</v>
      </c>
      <c r="D71" s="6">
        <f t="shared" ref="D71:F71" si="47">$G$71/4</f>
        <v>12659.461226999998</v>
      </c>
      <c r="E71" s="6">
        <f t="shared" si="47"/>
        <v>12659.461226999998</v>
      </c>
      <c r="F71" s="6">
        <f t="shared" si="47"/>
        <v>12659.461226999998</v>
      </c>
      <c r="G71" s="6">
        <f>'Profit and Loss Statement'!F15</f>
        <v>50637.844907999992</v>
      </c>
    </row>
    <row r="72" spans="2:7">
      <c r="B72" s="33" t="str">
        <f t="shared" si="46"/>
        <v>Equipment Costs</v>
      </c>
      <c r="C72" s="6">
        <f>$G$72/4</f>
        <v>12256.293672</v>
      </c>
      <c r="D72" s="6">
        <f t="shared" ref="D72:F72" si="48">$G$72/4</f>
        <v>12256.293672</v>
      </c>
      <c r="E72" s="6">
        <f t="shared" si="48"/>
        <v>12256.293672</v>
      </c>
      <c r="F72" s="6">
        <f t="shared" si="48"/>
        <v>12256.293672</v>
      </c>
      <c r="G72" s="6">
        <f>'Profit and Loss Statement'!F16</f>
        <v>49025.174687999999</v>
      </c>
    </row>
    <row r="73" spans="2:7">
      <c r="B73" s="33" t="str">
        <f t="shared" si="46"/>
        <v>Insurance Costs</v>
      </c>
      <c r="C73" s="6">
        <f>$G$73/4</f>
        <v>14832</v>
      </c>
      <c r="D73" s="6">
        <f t="shared" ref="D73:F73" si="49">$G$73/4</f>
        <v>14832</v>
      </c>
      <c r="E73" s="6">
        <f t="shared" si="49"/>
        <v>14832</v>
      </c>
      <c r="F73" s="6">
        <f t="shared" si="49"/>
        <v>14832</v>
      </c>
      <c r="G73" s="6">
        <f>'Profit and Loss Statement'!F17</f>
        <v>59328</v>
      </c>
    </row>
    <row r="74" spans="2:7">
      <c r="B74" s="33" t="str">
        <f t="shared" si="46"/>
        <v>Marketing</v>
      </c>
      <c r="C74" s="6">
        <f>$G$74/4</f>
        <v>9676.0213199999998</v>
      </c>
      <c r="D74" s="6">
        <f t="shared" ref="D74:F74" si="50">$G$74/4</f>
        <v>9676.0213199999998</v>
      </c>
      <c r="E74" s="6">
        <f t="shared" si="50"/>
        <v>9676.0213199999998</v>
      </c>
      <c r="F74" s="6">
        <f t="shared" si="50"/>
        <v>9676.0213199999998</v>
      </c>
      <c r="G74" s="6">
        <f>'Profit and Loss Statement'!F18</f>
        <v>38704.085279999999</v>
      </c>
    </row>
    <row r="75" spans="2:7">
      <c r="B75" s="33" t="str">
        <f t="shared" si="46"/>
        <v>Professional Fees and Licensure</v>
      </c>
      <c r="C75" s="6">
        <f>$G$75/4</f>
        <v>1687.5</v>
      </c>
      <c r="D75" s="6">
        <f t="shared" ref="D75:F75" si="51">$G$75/4</f>
        <v>1687.5</v>
      </c>
      <c r="E75" s="6">
        <f t="shared" si="51"/>
        <v>1687.5</v>
      </c>
      <c r="F75" s="6">
        <f t="shared" si="51"/>
        <v>1687.5</v>
      </c>
      <c r="G75" s="6">
        <f>'Profit and Loss Statement'!F19</f>
        <v>6750</v>
      </c>
    </row>
    <row r="76" spans="2:7">
      <c r="B76" s="29" t="s">
        <v>14</v>
      </c>
      <c r="C76" s="6">
        <f>$G$76/4</f>
        <v>18910.8</v>
      </c>
      <c r="D76" s="6">
        <f t="shared" ref="D76:F76" si="52">$G$76/4</f>
        <v>18910.8</v>
      </c>
      <c r="E76" s="6">
        <f t="shared" si="52"/>
        <v>18910.8</v>
      </c>
      <c r="F76" s="6">
        <f t="shared" si="52"/>
        <v>18910.8</v>
      </c>
      <c r="G76" s="6">
        <f>'Profit and Loss Statement'!F20</f>
        <v>75643.199999999997</v>
      </c>
    </row>
    <row r="77" spans="2:7">
      <c r="B77" s="28" t="s">
        <v>8</v>
      </c>
      <c r="C77" s="6">
        <f>SUM(C69:C76)</f>
        <v>381597.07621899998</v>
      </c>
      <c r="D77" s="6">
        <f t="shared" ref="D77:F77" si="53">SUM(D69:D76)</f>
        <v>381597.07621899998</v>
      </c>
      <c r="E77" s="6">
        <f t="shared" si="53"/>
        <v>381597.07621899998</v>
      </c>
      <c r="F77" s="6">
        <f t="shared" si="53"/>
        <v>381597.07621899998</v>
      </c>
      <c r="G77" s="6">
        <f>SUM(G69:G76)</f>
        <v>1526388.3048759999</v>
      </c>
    </row>
    <row r="78" spans="2:7">
      <c r="B78" s="30"/>
    </row>
    <row r="79" spans="2:7">
      <c r="B79" s="24" t="s">
        <v>47</v>
      </c>
      <c r="C79" s="25">
        <f>C66-C77</f>
        <v>367651.15078099997</v>
      </c>
      <c r="D79" s="25">
        <f t="shared" ref="D79:F79" si="54">D66-D77</f>
        <v>367651.15078099997</v>
      </c>
      <c r="E79" s="25">
        <f t="shared" si="54"/>
        <v>367651.15078099997</v>
      </c>
      <c r="F79" s="25">
        <f t="shared" si="54"/>
        <v>367651.15078099997</v>
      </c>
      <c r="G79" s="25">
        <f t="shared" ref="G79" si="55">G66-G77</f>
        <v>1470604.6031239999</v>
      </c>
    </row>
    <row r="80" spans="2:7">
      <c r="B80" s="29" t="s">
        <v>15</v>
      </c>
      <c r="C80" s="6">
        <f>$G$80*L62</f>
        <v>73900.492741931652</v>
      </c>
      <c r="D80" s="6">
        <f t="shared" ref="D80:F80" si="56">$G$80*M62</f>
        <v>73900.492741931652</v>
      </c>
      <c r="E80" s="6">
        <f t="shared" si="56"/>
        <v>73900.492741931652</v>
      </c>
      <c r="F80" s="6">
        <f t="shared" si="56"/>
        <v>73900.492741931652</v>
      </c>
      <c r="G80" s="6">
        <f>'Profit and Loss Statement'!F24</f>
        <v>295601.97096772661</v>
      </c>
    </row>
    <row r="81" spans="2:15">
      <c r="B81" s="29" t="s">
        <v>101</v>
      </c>
      <c r="C81" s="6">
        <f>$G$81*L62</f>
        <v>14780.098548386331</v>
      </c>
      <c r="D81" s="6">
        <f t="shared" ref="D81:F81" si="57">$G$81*M62</f>
        <v>14780.098548386331</v>
      </c>
      <c r="E81" s="6">
        <f t="shared" si="57"/>
        <v>14780.098548386331</v>
      </c>
      <c r="F81" s="6">
        <f t="shared" si="57"/>
        <v>14780.098548386331</v>
      </c>
      <c r="G81" s="6">
        <f>'Profit and Loss Statement'!F25</f>
        <v>59120.394193545326</v>
      </c>
    </row>
    <row r="82" spans="2:15">
      <c r="B82" s="29" t="s">
        <v>16</v>
      </c>
      <c r="C82" s="6">
        <f>SUM('Loan Amortization Table'!D26:D28)</f>
        <v>41301.774965365541</v>
      </c>
      <c r="D82" s="6">
        <f>SUM('Loan Amortization Table'!D29:D31)</f>
        <v>41133.033731612326</v>
      </c>
      <c r="E82" s="6">
        <f>SUM('Loan Amortization Table'!D32:D34)</f>
        <v>40961.322267106465</v>
      </c>
      <c r="F82" s="6">
        <f>SUM('Loan Amortization Table'!D35:D37)</f>
        <v>40786.588289009145</v>
      </c>
      <c r="G82" s="6">
        <f>'Profit and Loss Statement'!F26</f>
        <v>164182.71925309347</v>
      </c>
    </row>
    <row r="83" spans="2:15">
      <c r="B83" s="29" t="s">
        <v>54</v>
      </c>
      <c r="C83" s="6">
        <f>$G$83/4</f>
        <v>31003.5</v>
      </c>
      <c r="D83" s="6">
        <f t="shared" ref="D83:F83" si="58">$G$83/4</f>
        <v>31003.5</v>
      </c>
      <c r="E83" s="6">
        <f t="shared" si="58"/>
        <v>31003.5</v>
      </c>
      <c r="F83" s="6">
        <f t="shared" si="58"/>
        <v>31003.5</v>
      </c>
      <c r="G83" s="6">
        <f>'Profit and Loss Statement'!F27</f>
        <v>124014</v>
      </c>
    </row>
    <row r="84" spans="2:15">
      <c r="B84" s="38" t="s">
        <v>17</v>
      </c>
      <c r="C84" s="39">
        <f>C79-SUM(C80:C83)</f>
        <v>206665.28452531644</v>
      </c>
      <c r="D84" s="39">
        <f t="shared" ref="D84:F84" si="59">D79-SUM(D80:D83)</f>
        <v>206834.02575906966</v>
      </c>
      <c r="E84" s="39">
        <f t="shared" si="59"/>
        <v>207005.73722357553</v>
      </c>
      <c r="F84" s="39">
        <f t="shared" si="59"/>
        <v>207180.47120167286</v>
      </c>
      <c r="G84" s="39">
        <f>'Profit and Loss Statement'!F28</f>
        <v>827685.51870963443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927285.3764999999</v>
      </c>
      <c r="D92" s="6">
        <f t="shared" ref="D92:F92" si="64">$G$92*M92</f>
        <v>927285.3764999999</v>
      </c>
      <c r="E92" s="6">
        <f t="shared" si="64"/>
        <v>927285.3764999999</v>
      </c>
      <c r="F92" s="6">
        <f t="shared" si="64"/>
        <v>927285.3764999999</v>
      </c>
      <c r="G92" s="6">
        <f>'Profit and Loss Statement'!G6</f>
        <v>3709141.5059999996</v>
      </c>
      <c r="K92" s="4" t="s">
        <v>112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65649.915449999986</v>
      </c>
      <c r="D93" s="6">
        <f t="shared" ref="D93:F93" si="65">$G$93*M92</f>
        <v>65649.915449999986</v>
      </c>
      <c r="E93" s="6">
        <f t="shared" si="65"/>
        <v>65649.915449999986</v>
      </c>
      <c r="F93" s="6">
        <f t="shared" si="65"/>
        <v>65649.915449999986</v>
      </c>
      <c r="G93" s="6">
        <f>'Profit and Loss Statement'!G7</f>
        <v>262599.66179999994</v>
      </c>
    </row>
    <row r="94" spans="2:15">
      <c r="B94" s="29" t="s">
        <v>12</v>
      </c>
      <c r="C94" s="17">
        <f>1-(C93/C92)</f>
        <v>0.92920203735144313</v>
      </c>
      <c r="D94" s="17">
        <f t="shared" ref="D94:G94" si="66">1-(D93/D92)</f>
        <v>0.92920203735144313</v>
      </c>
      <c r="E94" s="17">
        <f t="shared" si="66"/>
        <v>0.92920203735144313</v>
      </c>
      <c r="F94" s="17">
        <f t="shared" si="66"/>
        <v>0.92920203735144313</v>
      </c>
      <c r="G94" s="17">
        <f t="shared" si="66"/>
        <v>0.92920203735144313</v>
      </c>
    </row>
    <row r="95" spans="2:15">
      <c r="B95" s="30"/>
    </row>
    <row r="96" spans="2:15">
      <c r="B96" s="37" t="s">
        <v>10</v>
      </c>
      <c r="C96" s="6">
        <f>C92-C93</f>
        <v>861635.46104999993</v>
      </c>
      <c r="D96" s="6">
        <f t="shared" ref="D96:G96" si="67">D92-D93</f>
        <v>861635.46104999993</v>
      </c>
      <c r="E96" s="6">
        <f t="shared" si="67"/>
        <v>861635.46104999993</v>
      </c>
      <c r="F96" s="6">
        <f t="shared" si="67"/>
        <v>861635.46104999993</v>
      </c>
      <c r="G96" s="6">
        <f t="shared" si="67"/>
        <v>3446541.8441999997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254616</v>
      </c>
      <c r="D99" s="6">
        <f>$G$99/4</f>
        <v>254616</v>
      </c>
      <c r="E99" s="6">
        <f>$G$99/4</f>
        <v>254616</v>
      </c>
      <c r="F99" s="6">
        <f>$G$99/4</f>
        <v>254616</v>
      </c>
      <c r="G99" s="6">
        <f>'Profit and Loss Statement'!G13</f>
        <v>1018464</v>
      </c>
    </row>
    <row r="100" spans="2:7">
      <c r="B100" s="33" t="str">
        <f>B70</f>
        <v>Facility Costs</v>
      </c>
      <c r="C100" s="6">
        <f>$G$100/4</f>
        <v>66306.25</v>
      </c>
      <c r="D100" s="6">
        <f t="shared" ref="D100:F100" si="68">$G$100/4</f>
        <v>66306.25</v>
      </c>
      <c r="E100" s="6">
        <f t="shared" si="68"/>
        <v>66306.25</v>
      </c>
      <c r="F100" s="6">
        <f t="shared" si="68"/>
        <v>66306.25</v>
      </c>
      <c r="G100" s="6">
        <f>'Profit and Loss Statement'!G14</f>
        <v>265225</v>
      </c>
    </row>
    <row r="101" spans="2:7">
      <c r="B101" s="33" t="str">
        <f t="shared" ref="B101:B105" si="69">B71</f>
        <v>General and Administrative</v>
      </c>
      <c r="C101" s="6">
        <f>$G101/4</f>
        <v>14558.380411049997</v>
      </c>
      <c r="D101" s="6">
        <f t="shared" ref="D101:F101" si="70">$G101/4</f>
        <v>14558.380411049997</v>
      </c>
      <c r="E101" s="6">
        <f t="shared" si="70"/>
        <v>14558.380411049997</v>
      </c>
      <c r="F101" s="6">
        <f t="shared" si="70"/>
        <v>14558.380411049997</v>
      </c>
      <c r="G101" s="6">
        <f>'Profit and Loss Statement'!G15</f>
        <v>58233.521644199987</v>
      </c>
    </row>
    <row r="102" spans="2:7">
      <c r="B102" s="33" t="str">
        <f t="shared" si="69"/>
        <v>Equipment Costs</v>
      </c>
      <c r="C102" s="6">
        <f>$G$102/4</f>
        <v>14094.737722799999</v>
      </c>
      <c r="D102" s="6">
        <f t="shared" ref="D102:F102" si="71">$G$102/4</f>
        <v>14094.737722799999</v>
      </c>
      <c r="E102" s="6">
        <f t="shared" si="71"/>
        <v>14094.737722799999</v>
      </c>
      <c r="F102" s="6">
        <f t="shared" si="71"/>
        <v>14094.737722799999</v>
      </c>
      <c r="G102" s="6">
        <f>'Profit and Loss Statement'!G16</f>
        <v>56378.950891199995</v>
      </c>
    </row>
    <row r="103" spans="2:7">
      <c r="B103" s="33" t="str">
        <f t="shared" si="69"/>
        <v>Insurance Costs</v>
      </c>
      <c r="C103" s="6">
        <f>$G$103/4</f>
        <v>15276.96</v>
      </c>
      <c r="D103" s="6">
        <f t="shared" ref="D103:F103" si="72">$G$103/4</f>
        <v>15276.96</v>
      </c>
      <c r="E103" s="6">
        <f t="shared" si="72"/>
        <v>15276.96</v>
      </c>
      <c r="F103" s="6">
        <f t="shared" si="72"/>
        <v>15276.96</v>
      </c>
      <c r="G103" s="6">
        <f>'Profit and Loss Statement'!G17</f>
        <v>61107.839999999997</v>
      </c>
    </row>
    <row r="104" spans="2:7">
      <c r="B104" s="33" t="str">
        <f t="shared" si="69"/>
        <v>Marketing</v>
      </c>
      <c r="C104" s="6">
        <f>$G$104/4</f>
        <v>11127.424518</v>
      </c>
      <c r="D104" s="6">
        <f t="shared" ref="D104:F104" si="73">$G$104/4</f>
        <v>11127.424518</v>
      </c>
      <c r="E104" s="6">
        <f t="shared" si="73"/>
        <v>11127.424518</v>
      </c>
      <c r="F104" s="6">
        <f t="shared" si="73"/>
        <v>11127.424518</v>
      </c>
      <c r="G104" s="6">
        <f>'Profit and Loss Statement'!G18</f>
        <v>44509.698071999999</v>
      </c>
    </row>
    <row r="105" spans="2:7">
      <c r="B105" s="33" t="str">
        <f t="shared" si="69"/>
        <v>Professional Fees and Licensure</v>
      </c>
      <c r="C105" s="6">
        <f>$G$105/4</f>
        <v>2278.125</v>
      </c>
      <c r="D105" s="6">
        <f t="shared" ref="D105:F105" si="74">$G$105/4</f>
        <v>2278.125</v>
      </c>
      <c r="E105" s="6">
        <f t="shared" si="74"/>
        <v>2278.125</v>
      </c>
      <c r="F105" s="6">
        <f t="shared" si="74"/>
        <v>2278.125</v>
      </c>
      <c r="G105" s="6">
        <f>'Profit and Loss Statement'!G19</f>
        <v>9112.5</v>
      </c>
    </row>
    <row r="106" spans="2:7">
      <c r="B106" s="29" t="s">
        <v>14</v>
      </c>
      <c r="C106" s="6">
        <f>$G$106/4</f>
        <v>19478.124</v>
      </c>
      <c r="D106" s="6">
        <f t="shared" ref="D106:F106" si="75">$G$106/4</f>
        <v>19478.124</v>
      </c>
      <c r="E106" s="6">
        <f t="shared" si="75"/>
        <v>19478.124</v>
      </c>
      <c r="F106" s="6">
        <f t="shared" si="75"/>
        <v>19478.124</v>
      </c>
      <c r="G106" s="6">
        <f>'Profit and Loss Statement'!G20</f>
        <v>77912.495999999999</v>
      </c>
    </row>
    <row r="107" spans="2:7">
      <c r="B107" s="28" t="s">
        <v>8</v>
      </c>
      <c r="C107" s="6">
        <f>SUM(C99:C106)</f>
        <v>397736.00165185001</v>
      </c>
      <c r="D107" s="6">
        <f t="shared" ref="D107:F107" si="76">SUM(D99:D106)</f>
        <v>397736.00165185001</v>
      </c>
      <c r="E107" s="6">
        <f t="shared" si="76"/>
        <v>397736.00165185001</v>
      </c>
      <c r="F107" s="6">
        <f t="shared" si="76"/>
        <v>397736.00165185001</v>
      </c>
      <c r="G107" s="6">
        <f>SUM(G99:G106)</f>
        <v>1590944.0066074</v>
      </c>
    </row>
    <row r="108" spans="2:7">
      <c r="B108" s="30"/>
    </row>
    <row r="109" spans="2:7">
      <c r="B109" s="24" t="s">
        <v>47</v>
      </c>
      <c r="C109" s="25">
        <f>C96-C107</f>
        <v>463899.45939814992</v>
      </c>
      <c r="D109" s="25">
        <f t="shared" ref="D109:G109" si="77">D96-D107</f>
        <v>463899.45939814992</v>
      </c>
      <c r="E109" s="25">
        <f t="shared" si="77"/>
        <v>463899.45939814992</v>
      </c>
      <c r="F109" s="25">
        <f t="shared" si="77"/>
        <v>463899.45939814992</v>
      </c>
      <c r="G109" s="25">
        <f t="shared" si="77"/>
        <v>1855597.8375925997</v>
      </c>
    </row>
    <row r="110" spans="2:7">
      <c r="B110" s="29" t="s">
        <v>15</v>
      </c>
      <c r="C110" s="6">
        <f>$G$110*L92</f>
        <v>98140.447273827362</v>
      </c>
      <c r="D110" s="6">
        <f t="shared" ref="D110:F110" si="78">$G$110*M92</f>
        <v>98140.447273827362</v>
      </c>
      <c r="E110" s="6">
        <f t="shared" si="78"/>
        <v>98140.447273827362</v>
      </c>
      <c r="F110" s="6">
        <f t="shared" si="78"/>
        <v>98140.447273827362</v>
      </c>
      <c r="G110" s="6">
        <f>'Profit and Loss Statement'!G24</f>
        <v>392561.78909530945</v>
      </c>
    </row>
    <row r="111" spans="2:7">
      <c r="B111" s="29" t="s">
        <v>101</v>
      </c>
      <c r="C111" s="6">
        <f>$G$111*L92</f>
        <v>19628.089454765472</v>
      </c>
      <c r="D111" s="6">
        <f t="shared" ref="D111:F111" si="79">$G$111*M92</f>
        <v>19628.089454765472</v>
      </c>
      <c r="E111" s="6">
        <f t="shared" si="79"/>
        <v>19628.089454765472</v>
      </c>
      <c r="F111" s="6">
        <f t="shared" si="79"/>
        <v>19628.089454765472</v>
      </c>
      <c r="G111" s="6">
        <f>'Profit and Loss Statement'!G25</f>
        <v>78512.357819061886</v>
      </c>
    </row>
    <row r="112" spans="2:7">
      <c r="B112" s="29" t="s">
        <v>16</v>
      </c>
      <c r="C112" s="6">
        <f>SUM('Loan Amortization Table'!D38:D40)</f>
        <v>40608.778594184303</v>
      </c>
      <c r="D112" s="6">
        <f>SUM('Loan Amortization Table'!D41:D43)</f>
        <v>40427.83904299928</v>
      </c>
      <c r="E112" s="6">
        <f>SUM('Loan Amortization Table'!D44:D46)</f>
        <v>40243.714542840353</v>
      </c>
      <c r="F112" s="6">
        <f>SUM('Loan Amortization Table'!D47:D49)</f>
        <v>40056.349031338046</v>
      </c>
      <c r="G112" s="6">
        <f>'Profit and Loss Statement'!G26</f>
        <v>161336.68121136198</v>
      </c>
    </row>
    <row r="113" spans="2:15">
      <c r="B113" s="29" t="s">
        <v>54</v>
      </c>
      <c r="C113" s="6">
        <f>$G$113/4</f>
        <v>31003.5</v>
      </c>
      <c r="D113" s="6">
        <f>$G$113/4</f>
        <v>31003.5</v>
      </c>
      <c r="E113" s="6">
        <f>$G$113/4</f>
        <v>31003.5</v>
      </c>
      <c r="F113" s="6">
        <f>$G$113/4</f>
        <v>31003.5</v>
      </c>
      <c r="G113" s="6">
        <f>'Profit and Loss Statement'!G27</f>
        <v>124014</v>
      </c>
    </row>
    <row r="114" spans="2:15">
      <c r="B114" s="38" t="s">
        <v>17</v>
      </c>
      <c r="C114" s="39">
        <f>C109-SUM(C110:C113)</f>
        <v>274518.64407537278</v>
      </c>
      <c r="D114" s="39">
        <f t="shared" ref="D114:F114" si="80">D109-SUM(D110:D113)</f>
        <v>274699.58362655784</v>
      </c>
      <c r="E114" s="39">
        <f t="shared" si="80"/>
        <v>274883.70812671672</v>
      </c>
      <c r="F114" s="39">
        <f t="shared" si="80"/>
        <v>275071.07363821904</v>
      </c>
      <c r="G114" s="39">
        <f>'Profit and Loss Statement'!G28</f>
        <v>1099173.0094668665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topLeftCell="A2" workbookViewId="0">
      <selection activeCell="Q39" sqref="Q38:Q39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53576.215468378992</v>
      </c>
      <c r="E6" s="13">
        <f>'Expanded Profit and Loss'!D28+'Expanded Profit and Loss'!D27</f>
        <v>53618.413026461894</v>
      </c>
      <c r="F6" s="13">
        <f>'Expanded Profit and Loss'!E28+'Expanded Profit and Loss'!E27</f>
        <v>53660.711398666957</v>
      </c>
      <c r="G6" s="13">
        <f>'Expanded Profit and Loss'!F28+'Expanded Profit and Loss'!F27</f>
        <v>53703.111173076679</v>
      </c>
      <c r="H6" s="13">
        <f>'Expanded Profit and Loss'!G28+'Expanded Profit and Loss'!G27</f>
        <v>53745.612941203828</v>
      </c>
      <c r="I6" s="13">
        <f>'Expanded Profit and Loss'!H28+'Expanded Profit and Loss'!H27</f>
        <v>53788.217298011819</v>
      </c>
      <c r="J6" s="13">
        <f>'Expanded Profit and Loss'!I28+'Expanded Profit and Loss'!I27</f>
        <v>53830.92484193456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600000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2400000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3000833.3333333335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3054409.5488017127</v>
      </c>
      <c r="E15" s="27">
        <f t="shared" ref="E15:J15" si="3">E6+E12</f>
        <v>54451.74635979523</v>
      </c>
      <c r="F15" s="27">
        <f t="shared" si="3"/>
        <v>54494.044732000293</v>
      </c>
      <c r="G15" s="27">
        <f t="shared" si="3"/>
        <v>54536.444506410015</v>
      </c>
      <c r="H15" s="27">
        <f t="shared" si="3"/>
        <v>54578.946274537164</v>
      </c>
      <c r="I15" s="27">
        <f t="shared" si="3"/>
        <v>54621.550631345155</v>
      </c>
      <c r="J15" s="27">
        <f t="shared" si="3"/>
        <v>54664.258175267896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2962.7007346022037</v>
      </c>
      <c r="E18" s="6">
        <f>'Loan Amortization Table'!C15</f>
        <v>2979.9831555540495</v>
      </c>
      <c r="F18" s="6">
        <f>'Loan Amortization Table'!C16</f>
        <v>2997.3663906281163</v>
      </c>
      <c r="G18" s="6">
        <f>'Loan Amortization Table'!C17</f>
        <v>3014.8510279067814</v>
      </c>
      <c r="H18" s="6">
        <f>'Loan Amortization Table'!C18</f>
        <v>3032.4376589029034</v>
      </c>
      <c r="I18" s="6">
        <f>'Loan Amortization Table'!C19</f>
        <v>3050.1268785798366</v>
      </c>
      <c r="J18" s="6">
        <f>'Loan Amortization Table'!C20</f>
        <v>3067.9192853715504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2500000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2503546.0340679353</v>
      </c>
      <c r="E22" s="26">
        <f t="shared" ref="E22:J22" si="5">SUM(E18:E21)</f>
        <v>3563.316488887383</v>
      </c>
      <c r="F22" s="26">
        <f t="shared" si="5"/>
        <v>3580.6997239614498</v>
      </c>
      <c r="G22" s="26">
        <f t="shared" si="5"/>
        <v>3598.1843612401149</v>
      </c>
      <c r="H22" s="26">
        <f t="shared" si="5"/>
        <v>3615.7709922362369</v>
      </c>
      <c r="I22" s="26">
        <f t="shared" si="5"/>
        <v>3633.46021191317</v>
      </c>
      <c r="J22" s="26">
        <f t="shared" si="5"/>
        <v>3651.2526187048838</v>
      </c>
    </row>
    <row r="23" spans="3:10">
      <c r="C23" s="30"/>
    </row>
    <row r="24" spans="3:10">
      <c r="C24" s="42" t="s">
        <v>27</v>
      </c>
      <c r="D24" s="25">
        <f>D15-D22</f>
        <v>550863.51473377738</v>
      </c>
      <c r="E24" s="25">
        <f t="shared" ref="E24:J24" si="6">E15-E22</f>
        <v>50888.42987090785</v>
      </c>
      <c r="F24" s="25">
        <f t="shared" si="6"/>
        <v>50913.345008038843</v>
      </c>
      <c r="G24" s="25">
        <f t="shared" si="6"/>
        <v>50938.260145169901</v>
      </c>
      <c r="H24" s="25">
        <f t="shared" si="6"/>
        <v>50963.17528230093</v>
      </c>
      <c r="I24" s="25">
        <f t="shared" si="6"/>
        <v>50988.090419431988</v>
      </c>
      <c r="J24" s="25">
        <f t="shared" si="6"/>
        <v>51013.00555656301</v>
      </c>
    </row>
    <row r="25" spans="3:10">
      <c r="C25" s="42" t="s">
        <v>6</v>
      </c>
      <c r="D25" s="25">
        <f>D24</f>
        <v>550863.51473377738</v>
      </c>
      <c r="E25" s="25">
        <f>D25+E24</f>
        <v>601751.94460468518</v>
      </c>
      <c r="F25" s="25">
        <f t="shared" ref="F25:J25" si="7">E25+F24</f>
        <v>652665.28961272398</v>
      </c>
      <c r="G25" s="25">
        <f t="shared" si="7"/>
        <v>703603.5497578939</v>
      </c>
      <c r="H25" s="25">
        <f t="shared" si="7"/>
        <v>754566.72504019481</v>
      </c>
      <c r="I25" s="25">
        <f t="shared" si="7"/>
        <v>805554.81545962684</v>
      </c>
      <c r="J25" s="25">
        <f t="shared" si="7"/>
        <v>856567.82101618988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53873.736174896927</v>
      </c>
      <c r="E31" s="13">
        <f>'Expanded Profit and Loss'!D56+'Expanded Profit and Loss'!D55</f>
        <v>53916.651902334997</v>
      </c>
      <c r="F31" s="13">
        <f>'Expanded Profit and Loss'!E56+'Expanded Profit and Loss'!E55</f>
        <v>53959.672633216469</v>
      </c>
      <c r="G31" s="13">
        <f>'Expanded Profit and Loss'!F56+'Expanded Profit and Loss'!F55</f>
        <v>54002.79898006154</v>
      </c>
      <c r="H31" s="13">
        <f>'Expanded Profit and Loss'!G56+'Expanded Profit and Loss'!G55</f>
        <v>54046.031558963281</v>
      </c>
      <c r="I31" s="13">
        <f>'Cash Flow Analysis'!E6</f>
        <v>645722.09739720833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600000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2400000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3010000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54707.069508230263</v>
      </c>
      <c r="E40" s="27">
        <f t="shared" ref="E40:H40" si="13">E31+E37</f>
        <v>54749.985235668333</v>
      </c>
      <c r="F40" s="27">
        <f t="shared" si="13"/>
        <v>54793.005966549805</v>
      </c>
      <c r="G40" s="27">
        <f t="shared" si="13"/>
        <v>54836.132313394875</v>
      </c>
      <c r="H40" s="27">
        <f t="shared" si="13"/>
        <v>54879.364892296617</v>
      </c>
      <c r="I40" s="36">
        <f>'Cash Flow Analysis'!E15</f>
        <v>3655722.0973972082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3085.8154812028843</v>
      </c>
      <c r="E43" s="6">
        <f>'Loan Amortization Table'!C22</f>
        <v>3103.8160715099002</v>
      </c>
      <c r="F43" s="6">
        <f>'Loan Amortization Table'!C23</f>
        <v>3121.9216652603736</v>
      </c>
      <c r="G43" s="6">
        <f>'Loan Amortization Table'!C24</f>
        <v>3140.1328749743934</v>
      </c>
      <c r="H43" s="6">
        <f>'Loan Amortization Table'!C25</f>
        <v>3158.4503167450785</v>
      </c>
      <c r="I43" s="6">
        <f>'Cash Flow Analysis'!E18</f>
        <v>36715.521541238064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2500000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452005.46817804582</v>
      </c>
      <c r="I46" s="13">
        <f>'Cash Flow Analysis'!E21</f>
        <v>452005.46817804582</v>
      </c>
      <c r="J46" s="30"/>
    </row>
    <row r="47" spans="3:10">
      <c r="C47" s="37" t="s">
        <v>26</v>
      </c>
      <c r="D47" s="26">
        <f>SUM(D43:D46)</f>
        <v>3669.1488145362177</v>
      </c>
      <c r="E47" s="26">
        <f t="shared" ref="E47:H47" si="15">SUM(E43:E46)</f>
        <v>3687.1494048432337</v>
      </c>
      <c r="F47" s="26">
        <f t="shared" si="15"/>
        <v>3705.2549985937071</v>
      </c>
      <c r="G47" s="26">
        <f t="shared" si="15"/>
        <v>3723.4662083077269</v>
      </c>
      <c r="H47" s="26">
        <f t="shared" si="15"/>
        <v>455747.25182812422</v>
      </c>
      <c r="I47" s="26">
        <f>'Cash Flow Analysis'!E22</f>
        <v>2995720.9897192838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51037.920693694046</v>
      </c>
      <c r="E49" s="25">
        <f t="shared" ref="E49:H49" si="16">E40-E47</f>
        <v>51062.835830825097</v>
      </c>
      <c r="F49" s="25">
        <f t="shared" si="16"/>
        <v>51087.750967956097</v>
      </c>
      <c r="G49" s="25">
        <f t="shared" si="16"/>
        <v>51112.666105087148</v>
      </c>
      <c r="H49" s="25">
        <f t="shared" si="16"/>
        <v>-400867.88693582761</v>
      </c>
      <c r="I49" s="45">
        <f>'Cash Flow Analysis'!E24</f>
        <v>660001.10767792445</v>
      </c>
      <c r="J49" s="30"/>
    </row>
    <row r="50" spans="3:10">
      <c r="C50" s="42" t="s">
        <v>6</v>
      </c>
      <c r="D50" s="25">
        <f>J25+D49</f>
        <v>907605.74170988391</v>
      </c>
      <c r="E50" s="25">
        <f>D50+E49</f>
        <v>958668.57754070906</v>
      </c>
      <c r="F50" s="25">
        <f t="shared" ref="F50:H50" si="17">E50+F49</f>
        <v>1009756.3285086652</v>
      </c>
      <c r="G50" s="25">
        <f t="shared" si="17"/>
        <v>1060868.9946137522</v>
      </c>
      <c r="H50" s="25">
        <f t="shared" si="17"/>
        <v>660001.10767792468</v>
      </c>
      <c r="I50" s="45">
        <f>'Cash Flow Analysis'!E25</f>
        <v>660001.10767792445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237668.78452531644</v>
      </c>
      <c r="E58" s="48">
        <f>'Expanded Profit and Loss'!D84+'Expanded Profit and Loss'!D83</f>
        <v>237837.52575906966</v>
      </c>
      <c r="F58" s="48">
        <f>'Expanded Profit and Loss'!E84+'Expanded Profit and Loss'!E83</f>
        <v>238009.23722357553</v>
      </c>
      <c r="G58" s="48">
        <f>'Expanded Profit and Loss'!F84+'Expanded Profit and Loss'!F83</f>
        <v>238183.97120167286</v>
      </c>
      <c r="H58" s="46">
        <f>'Cash Flow Analysis'!F6</f>
        <v>951699.51870963443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240218.78452531644</v>
      </c>
      <c r="E67" s="48">
        <f t="shared" ref="E67:G67" si="19">E58+E64</f>
        <v>240387.52575906966</v>
      </c>
      <c r="F67" s="48">
        <f t="shared" si="19"/>
        <v>240559.23722357553</v>
      </c>
      <c r="G67" s="48">
        <f t="shared" si="19"/>
        <v>240733.97120167286</v>
      </c>
      <c r="H67" s="27">
        <f>'Cash Flow Analysis'!F15</f>
        <v>961899.51870963443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9586.327238441072</v>
      </c>
      <c r="E70" s="50">
        <f>SUM('Loan Amortization Table'!C29:C31)</f>
        <v>9755.0684721942835</v>
      </c>
      <c r="F70" s="50">
        <f>SUM('Loan Amortization Table'!C32:C34)</f>
        <v>9926.7799367001462</v>
      </c>
      <c r="G70" s="50">
        <f>SUM('Loan Amortization Table'!C35:C37)</f>
        <v>10101.513914797468</v>
      </c>
      <c r="H70" s="32">
        <f>'Cash Flow Analysis'!F18</f>
        <v>39369.689562132968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47584.975935481722</v>
      </c>
      <c r="E72" s="50">
        <v>0</v>
      </c>
      <c r="F72" s="50">
        <v>0</v>
      </c>
      <c r="G72" s="50">
        <v>0</v>
      </c>
      <c r="H72" s="32">
        <f>'Cash Flow Analysis'!F20</f>
        <v>47584.975935481722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666189.6630967441</v>
      </c>
      <c r="H73" s="13">
        <f>'Cash Flow Analysis'!F21</f>
        <v>666189.6630967441</v>
      </c>
    </row>
    <row r="74" spans="3:8">
      <c r="C74" s="37" t="s">
        <v>26</v>
      </c>
      <c r="D74" s="51">
        <f>SUM(D70:D73)</f>
        <v>58956.303173922795</v>
      </c>
      <c r="E74" s="51">
        <f t="shared" ref="E74:G74" si="20">SUM(E70:E73)</f>
        <v>11540.068472194283</v>
      </c>
      <c r="F74" s="51">
        <f t="shared" si="20"/>
        <v>11711.779936700146</v>
      </c>
      <c r="G74" s="51">
        <f t="shared" si="20"/>
        <v>678076.17701154156</v>
      </c>
      <c r="H74" s="34">
        <f>'Cash Flow Analysis'!F22</f>
        <v>760284.32859435875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181262.48135139365</v>
      </c>
      <c r="E76" s="52">
        <f t="shared" ref="E76:G76" si="21">E67-E74</f>
        <v>228847.45728687537</v>
      </c>
      <c r="F76" s="52">
        <f t="shared" si="21"/>
        <v>228847.45728687537</v>
      </c>
      <c r="G76" s="52">
        <f t="shared" si="21"/>
        <v>-437342.2058098687</v>
      </c>
      <c r="H76" s="40">
        <f>'Cash Flow Analysis'!F24</f>
        <v>201615.19011527568</v>
      </c>
    </row>
    <row r="77" spans="3:8">
      <c r="C77" s="42" t="s">
        <v>6</v>
      </c>
      <c r="D77" s="52">
        <f>I50+D76</f>
        <v>841263.58902931807</v>
      </c>
      <c r="E77" s="52">
        <f>D77+E76</f>
        <v>1070111.0463161934</v>
      </c>
      <c r="F77" s="52">
        <f t="shared" ref="F77:G77" si="22">E77+F76</f>
        <v>1298958.5036030689</v>
      </c>
      <c r="G77" s="52">
        <f t="shared" si="22"/>
        <v>861616.29779320024</v>
      </c>
      <c r="H77" s="40">
        <f>'Cash Flow Analysis'!F25</f>
        <v>861616.29779320012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305522.14407537278</v>
      </c>
      <c r="E84" s="48">
        <f>'Expanded Profit and Loss'!D114+'Expanded Profit and Loss'!D113</f>
        <v>305703.08362655784</v>
      </c>
      <c r="F84" s="48">
        <f>'Expanded Profit and Loss'!E114+'Expanded Profit and Loss'!E113</f>
        <v>305887.20812671672</v>
      </c>
      <c r="G84" s="48">
        <f>'Expanded Profit and Loss'!F114+'Expanded Profit and Loss'!F113</f>
        <v>306074.57363821904</v>
      </c>
      <c r="H84" s="27">
        <f>'Cash Flow Analysis'!G6</f>
        <v>1223187.0094668665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308123.14407537278</v>
      </c>
      <c r="E93" s="48">
        <f t="shared" ref="E93:G93" si="24">E90+E84</f>
        <v>308304.08362655784</v>
      </c>
      <c r="F93" s="48">
        <f t="shared" si="24"/>
        <v>308488.20812671672</v>
      </c>
      <c r="G93" s="48">
        <f t="shared" si="24"/>
        <v>308675.57363821904</v>
      </c>
      <c r="H93" s="27">
        <f>'Cash Flow Analysis'!G15</f>
        <v>1233591.0094668665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10279.323609622306</v>
      </c>
      <c r="E96" s="50">
        <f>SUM('Loan Amortization Table'!C41:C43)</f>
        <v>10460.263160807328</v>
      </c>
      <c r="F96" s="50">
        <f>SUM('Loan Amortization Table'!C44:C46)</f>
        <v>10644.38766096626</v>
      </c>
      <c r="G96" s="50">
        <f>SUM('Loan Amortization Table'!C47:C49)</f>
        <v>10831.753172468565</v>
      </c>
      <c r="H96" s="32">
        <f>'Cash Flow Analysis'!G18</f>
        <v>42215.727603864456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61159.350473343329</v>
      </c>
      <c r="E98" s="50">
        <v>0</v>
      </c>
      <c r="F98" s="50">
        <v>0</v>
      </c>
      <c r="G98" s="50">
        <v>0</v>
      </c>
      <c r="H98" s="32">
        <f>'Cash Flow Analysis'!G20</f>
        <v>61159.350473343329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856230.90662680648</v>
      </c>
      <c r="H99" s="13">
        <f>'Cash Flow Analysis'!G21</f>
        <v>856230.90662680648</v>
      </c>
    </row>
    <row r="100" spans="3:8">
      <c r="C100" s="37" t="s">
        <v>26</v>
      </c>
      <c r="D100" s="51">
        <f>SUM(D96:D99)</f>
        <v>73259.374082965631</v>
      </c>
      <c r="E100" s="51">
        <f t="shared" ref="E100:G100" si="26">SUM(E96:E99)</f>
        <v>12280.963160807329</v>
      </c>
      <c r="F100" s="51">
        <f t="shared" si="26"/>
        <v>12465.087660966259</v>
      </c>
      <c r="G100" s="51">
        <f t="shared" si="26"/>
        <v>868883.35979927506</v>
      </c>
      <c r="H100" s="34">
        <f>'Cash Flow Analysis'!G22</f>
        <v>966888.78470401419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234863.76999240715</v>
      </c>
      <c r="E102" s="52">
        <f t="shared" ref="E102:G102" si="27">E93-E100</f>
        <v>296023.12046575051</v>
      </c>
      <c r="F102" s="52">
        <f t="shared" si="27"/>
        <v>296023.12046575046</v>
      </c>
      <c r="G102" s="52">
        <f t="shared" si="27"/>
        <v>-560207.78616105602</v>
      </c>
      <c r="H102" s="40">
        <f>'Cash Flow Analysis'!G24</f>
        <v>266702.2247628523</v>
      </c>
    </row>
    <row r="103" spans="3:8">
      <c r="C103" s="42" t="s">
        <v>6</v>
      </c>
      <c r="D103" s="52">
        <f>G77+D102</f>
        <v>1096480.0677856074</v>
      </c>
      <c r="E103" s="52">
        <f>D103+E102</f>
        <v>1392503.188251358</v>
      </c>
      <c r="F103" s="52">
        <f t="shared" ref="F103:G103" si="28">E103+F102</f>
        <v>1688526.3087171083</v>
      </c>
      <c r="G103" s="52">
        <f t="shared" si="28"/>
        <v>1128318.5225560523</v>
      </c>
      <c r="H103" s="40">
        <f>'Cash Flow Analysis'!G25</f>
        <v>1128318.5225560525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N21" sqref="N21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6"/>
      <c r="J5" s="108"/>
      <c r="K5" s="109"/>
      <c r="L5" s="109"/>
      <c r="M5" s="109"/>
    </row>
    <row r="6" spans="5:13">
      <c r="E6" s="94" t="str">
        <f>Inputs!B5</f>
        <v>Membership Fees</v>
      </c>
      <c r="F6" s="94">
        <f>SUM(Inputs!C32:N32)</f>
        <v>1825320</v>
      </c>
      <c r="G6" s="94">
        <f t="shared" ref="G6:H15" si="0">F6*(1+G$5)</f>
        <v>2190384</v>
      </c>
      <c r="H6" s="94">
        <f t="shared" si="0"/>
        <v>2518941.5999999996</v>
      </c>
      <c r="I6" s="128"/>
      <c r="J6" s="94" t="str">
        <f>E6</f>
        <v>Membership Fees</v>
      </c>
      <c r="K6" s="144">
        <f>F6/$F$16</f>
        <v>0.6791171477079796</v>
      </c>
      <c r="L6" s="144">
        <f>G6/$G$16</f>
        <v>0.6791171477079796</v>
      </c>
      <c r="M6" s="144">
        <f>H6/$H$16</f>
        <v>0.6791171477079796</v>
      </c>
    </row>
    <row r="7" spans="5:13">
      <c r="E7" s="94" t="str">
        <f>Inputs!B6</f>
        <v>Instruction</v>
      </c>
      <c r="F7" s="94">
        <f>SUM(Inputs!C33:N33)</f>
        <v>638862</v>
      </c>
      <c r="G7" s="94">
        <f t="shared" si="0"/>
        <v>766634.4</v>
      </c>
      <c r="H7" s="94">
        <f t="shared" si="0"/>
        <v>881629.55999999994</v>
      </c>
      <c r="I7" s="128"/>
      <c r="J7" s="94" t="str">
        <f t="shared" ref="J7:J15" si="1">E7</f>
        <v>Instruction</v>
      </c>
      <c r="K7" s="144">
        <f t="shared" ref="K7:K15" si="2">F7/$F$16</f>
        <v>0.23769100169779286</v>
      </c>
      <c r="L7" s="144">
        <f t="shared" ref="L7:L15" si="3">G7/$G$16</f>
        <v>0.23769100169779289</v>
      </c>
      <c r="M7" s="144">
        <f t="shared" ref="M7:M15" si="4">H7/$H$16</f>
        <v>0.23769100169779289</v>
      </c>
    </row>
    <row r="8" spans="5:13">
      <c r="E8" s="94" t="str">
        <f>Inputs!B7</f>
        <v>Product Sales</v>
      </c>
      <c r="F8" s="94">
        <f>SUM(Inputs!C34:N34)</f>
        <v>223601.69999999995</v>
      </c>
      <c r="G8" s="94">
        <f t="shared" si="0"/>
        <v>268322.03999999992</v>
      </c>
      <c r="H8" s="94">
        <f t="shared" si="0"/>
        <v>308570.3459999999</v>
      </c>
      <c r="I8" s="128"/>
      <c r="J8" s="94" t="str">
        <f t="shared" si="1"/>
        <v>Product Sales</v>
      </c>
      <c r="K8" s="144">
        <f t="shared" si="2"/>
        <v>8.3191850594227484E-2</v>
      </c>
      <c r="L8" s="144">
        <f t="shared" si="3"/>
        <v>8.3191850594227484E-2</v>
      </c>
      <c r="M8" s="144">
        <f t="shared" si="4"/>
        <v>8.3191850594227484E-2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2687783.7</v>
      </c>
      <c r="G16" s="99">
        <f>SUM(G6:G15)</f>
        <v>3225340.44</v>
      </c>
      <c r="H16" s="99">
        <f>SUM(H6:H15)</f>
        <v>3709141.5059999996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100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6"/>
      <c r="K20" s="126"/>
      <c r="L20" s="126"/>
      <c r="M20" s="126"/>
    </row>
    <row r="21" spans="5:13">
      <c r="E21" s="94" t="str">
        <f>E6</f>
        <v>Membership Fees</v>
      </c>
      <c r="F21" s="94">
        <f>SUM(Inputs!C51:N51)</f>
        <v>91266</v>
      </c>
      <c r="G21" s="94">
        <f t="shared" ref="G21:H30" si="5">F21*(1+G$20)</f>
        <v>109519.2</v>
      </c>
      <c r="H21" s="94">
        <f t="shared" si="5"/>
        <v>125947.07999999999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Instruction</v>
      </c>
      <c r="F22" s="94">
        <f>SUM(Inputs!C52:N52)</f>
        <v>31943.100000000006</v>
      </c>
      <c r="G22" s="94">
        <f t="shared" si="5"/>
        <v>38331.720000000008</v>
      </c>
      <c r="H22" s="94">
        <f t="shared" si="5"/>
        <v>44081.478000000003</v>
      </c>
      <c r="I22" s="128"/>
      <c r="J22" s="128"/>
      <c r="K22" s="128"/>
      <c r="L22" s="128"/>
      <c r="M22" s="128"/>
    </row>
    <row r="23" spans="5:13">
      <c r="E23" s="94" t="str">
        <f t="shared" si="6"/>
        <v>Product Sales</v>
      </c>
      <c r="F23" s="94">
        <f>SUM(Inputs!C53:N53)</f>
        <v>67080.50999999998</v>
      </c>
      <c r="G23" s="94">
        <f t="shared" si="5"/>
        <v>80496.611999999979</v>
      </c>
      <c r="H23" s="94">
        <f t="shared" si="5"/>
        <v>92571.103799999968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190289.61</v>
      </c>
      <c r="G31" s="100">
        <f>SUM(G21:G30)</f>
        <v>228347.53200000001</v>
      </c>
      <c r="H31" s="100">
        <f>SUM(H21:H30)</f>
        <v>262599.66179999994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2025-10-04T19:34:22Z</dcterms:modified>
</cp:coreProperties>
</file>