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Storage Facility\"/>
    </mc:Choice>
  </mc:AlternateContent>
  <xr:revisionPtr revIDLastSave="0" documentId="13_ncr:1_{2B61708B-5D53-4866-9FF5-4B3739A285D5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C33" i="2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D33" i="23" l="1"/>
  <c r="D52" i="23" s="1"/>
  <c r="H8" i="14"/>
  <c r="G8" i="14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0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H99" i="12" l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D226" i="8" s="1"/>
  <c r="A227" i="8"/>
  <c r="B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D238" i="8" s="1"/>
  <c r="B238" i="8"/>
  <c r="A239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D260" i="8" s="1"/>
  <c r="A261" i="8"/>
  <c r="B260" i="8"/>
  <c r="C260" i="8" l="1"/>
  <c r="E260" i="8" s="1"/>
  <c r="A262" i="8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 s="1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D269" i="8" s="1"/>
  <c r="A270" i="8"/>
  <c r="B269" i="8"/>
  <c r="C269" i="8" l="1"/>
  <c r="E269" i="8" s="1"/>
  <c r="D270" i="8" s="1"/>
  <c r="A271" i="8"/>
  <c r="B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 s="1"/>
  <c r="B274" i="8"/>
  <c r="A275" i="8"/>
  <c r="C274" i="8" l="1"/>
  <c r="E274" i="8" s="1"/>
  <c r="D275" i="8" s="1"/>
  <c r="A276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D288" i="8" s="1"/>
  <c r="A289" i="8"/>
  <c r="B288" i="8"/>
  <c r="C288" i="8" l="1"/>
  <c r="E288" i="8" s="1"/>
  <c r="D289" i="8" s="1"/>
  <c r="B289" i="8"/>
  <c r="A290" i="8"/>
  <c r="C289" i="8" l="1"/>
  <c r="E289" i="8" s="1"/>
  <c r="D290" i="8" s="1"/>
  <c r="B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D294" i="8" s="1"/>
  <c r="A295" i="8"/>
  <c r="B294" i="8"/>
  <c r="C294" i="8" l="1"/>
  <c r="E294" i="8" s="1"/>
  <c r="D295" i="8" s="1"/>
  <c r="B295" i="8"/>
  <c r="A296" i="8"/>
  <c r="C295" i="8" l="1"/>
  <c r="E295" i="8" s="1"/>
  <c r="D296" i="8" s="1"/>
  <c r="B296" i="8"/>
  <c r="A297" i="8"/>
  <c r="C296" i="8" l="1"/>
  <c r="E296" i="8" s="1"/>
  <c r="D297" i="8" s="1"/>
  <c r="A298" i="8"/>
  <c r="B297" i="8"/>
  <c r="C297" i="8" l="1"/>
  <c r="E297" i="8" s="1"/>
  <c r="D298" i="8" s="1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D306" i="8" s="1"/>
  <c r="B306" i="8"/>
  <c r="A307" i="8"/>
  <c r="C306" i="8" l="1"/>
  <c r="E306" i="8" s="1"/>
  <c r="D307" i="8" s="1"/>
  <c r="B307" i="8"/>
  <c r="A308" i="8"/>
  <c r="C307" i="8" l="1"/>
  <c r="E307" i="8" s="1"/>
  <c r="D308" i="8" s="1"/>
  <c r="B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<sst xmlns="http://schemas.openxmlformats.org/spreadsheetml/2006/main" count="324" uniqueCount="140">
  <si>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</si>
  <si>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</si>
  <si>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</si>
  <si>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</si>
  <si>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</si>
  <si>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</si>
  <si>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</si>
  <si>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</si>
  <si>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</si>
  <si>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</si>
  <si>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</si>
  <si>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</si>
  <si>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</si>
  <si>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</si>
  <si>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</si>
  <si>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</si>
  <si>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</si>
  <si>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</si>
  <si>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</si>
  <si>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</si>
  <si>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</si>
  <si>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</si>
  <si>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</si>
  <si>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</si>
  <si>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</si>
  <si>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</si>
  <si>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</si>
  <si>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</si>
  <si>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</si>
  <si>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</si>
  <si>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</si>
  <si>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</si>
  <si>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</si>
  <si>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</si>
  <si>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</si>
  <si>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</si>
  <si>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</si>
  <si>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</si>
  <si>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</si>
  <si>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</si>
  <si>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</si>
  <si>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</si>
  <si>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</si>
  <si>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</si>
  <si>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</si>
  <si>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</si>
  <si>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</si>
  <si>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</si>
  <si>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</si>
  <si>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</si>
  <si>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</si>
  <si>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</si>
  <si>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</si>
  <si>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</si>
  <si>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</si>
  <si>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</si>
  <si>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</si>
  <si>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</si>
  <si>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</si>
  <si>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</si>
  <si>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</si>
  <si>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</si>
  <si>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</si>
  <si>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</si>
  <si>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</si>
  <si>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</si>
  <si>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</si>
  <si>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</si>
  <si>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</si>
  <si>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</si>
  <si>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</si>
  <si>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</si>
  <si>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</si>
  <si>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</si>
  <si>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</si>
  <si>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</si>
  <si>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</si>
  <si>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</si>
  <si>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</si>
  <si>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</si>
  <si>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</si>
  <si>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</si>
  <si>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</si>
  <si>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</si>
  <si>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</si>
  <si>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</si>
  <si>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</si>
  <si>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</si>
  <si>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</si>
  <si>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</si>
  <si>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</si>
  <si>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</si>
  <si>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</si>
  <si>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</si>
  <si>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</si>
  <si>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</si>
  <si>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</si>
  <si>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</si>
  <si>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</si>
  <si>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</si>
  <si>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</si>
  <si>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</si>
  <si>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</si>
  <si>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</si>
  <si>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</si>
  <si>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</si>
  <si>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</si>
  <si>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</si>
  <si>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</si>
  <si>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</si>
  <si>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</si>
  <si>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</si>
  <si>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</si>
  <si>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</si>
  <si>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</si>
  <si>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</si>
  <si>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</si>
  <si>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Facility Costs</t>
  </si>
  <si>
    <t>Marketing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</si>
  <si>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</si>
  <si>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</si>
  <si>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</si>
  <si>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</si>
  <si>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</si>
  <si>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</si>
  <si>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</si>
  <si>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</si>
  <si>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</si>
  <si>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Other Income</t>
  </si>
  <si>
    <t>Rental Income</t>
  </si>
  <si>
    <t>Professional Fees</t>
  </si>
  <si>
    <t>Position 4</t>
  </si>
  <si>
    <t>Position 5</t>
  </si>
  <si>
    <t>Operational Manager</t>
  </si>
  <si>
    <t>Property Acquisition and Buildout</t>
  </si>
  <si>
    <t>Postion 9</t>
  </si>
  <si>
    <t>Postion 8</t>
  </si>
  <si>
    <t>Postion 7</t>
  </si>
  <si>
    <t>6021 Media Holdings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</si>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</sst>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57290.918403432617</c:v>
                </c:pt>
                <c:pt idx="1">
                  <c:v>68369.743819444499</c:v>
                </c:pt>
                <c:pt idx="2">
                  <c:v>79849.385413791199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41238.137066818708</c:v>
                </c:pt>
                <c:pt idx="1">
                  <c:v>43347.958424264194</c:v>
                </c:pt>
                <c:pt idx="2">
                  <c:v>45565.722246548023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57290.918403432617</c:v>
                </c:pt>
                <c:pt idx="1">
                  <c:v>68369.743819444499</c:v>
                </c:pt>
                <c:pt idx="2">
                  <c:v>79849.385413791199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20F-47BF-9197-EA993A430D0A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20F-47BF-9197-EA993A430D0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Rental Income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0.93023255813953487</c:v>
                </c:pt>
                <c:pt idx="1">
                  <c:v>6.9767441860465115E-2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196639.22642105262</c:v>
                </c:pt>
                <c:pt idx="1">
                  <c:v>204731.34316421053</c:v>
                </c:pt>
                <c:pt idx="2">
                  <c:v>213686.22085932631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196639.22642105262</c:v>
                </c:pt>
                <c:pt idx="1">
                  <c:v>204731.34316421053</c:v>
                </c:pt>
                <c:pt idx="2">
                  <c:v>213686.22085932631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375519</c:v>
                </c:pt>
                <c:pt idx="1">
                  <c:v>398050.14</c:v>
                </c:pt>
                <c:pt idx="2">
                  <c:v>421933.14840000006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186807.26509999999</c:v>
                </c:pt>
                <c:pt idx="1">
                  <c:v>194494.776006</c:v>
                </c:pt>
                <c:pt idx="2">
                  <c:v>203001.90981635998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169935.7849</c:v>
                </c:pt>
                <c:pt idx="1">
                  <c:v>183652.85699400003</c:v>
                </c:pt>
                <c:pt idx="2">
                  <c:v>197834.58116364008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375519</c:v>
                </c:pt>
                <c:pt idx="1">
                  <c:v>398050.14</c:v>
                </c:pt>
                <c:pt idx="2">
                  <c:v>421933.14840000006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9.6543077746349668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169935.7849</c:v>
                </c:pt>
                <c:pt idx="1">
                  <c:v>183652.85699400003</c:v>
                </c:pt>
                <c:pt idx="2">
                  <c:v>197834.58116364008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186807.26509999999</c:v>
                </c:pt>
                <c:pt idx="1">
                  <c:v>194494.776006</c:v>
                </c:pt>
                <c:pt idx="2">
                  <c:v>203001.90981635998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Rental Income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0.93023255813953487</c:v>
                </c:pt>
                <c:pt idx="1">
                  <c:v>6.9767441860465115E-2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2193451.7813366139</c:v>
                </c:pt>
                <c:pt idx="1">
                  <c:v>2190932.5667317943</c:v>
                </c:pt>
                <c:pt idx="2">
                  <c:v>2187736.4298990378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1961761.8629331812</c:v>
                </c:pt>
                <c:pt idx="1">
                  <c:v>1921473.9045089169</c:v>
                </c:pt>
                <c:pt idx="2">
                  <c:v>1879029.3822623689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231689.9184034327</c:v>
                </c:pt>
                <c:pt idx="1">
                  <c:v>269458.66222287738</c:v>
                </c:pt>
                <c:pt idx="2">
                  <c:v>308707.0476366689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'Personnel - Editable'!$L$31:$L$35</c15:sqref>
                  </c15:fullRef>
                </c:ext>
              </c:extLst>
              <c:f>'Personnel - Editable'!$L$31:$L$33</c:f>
              <c:strCache>
                <c:ptCount val="3"/>
                <c:pt idx="0">
                  <c:v>Senior Management</c:v>
                </c:pt>
                <c:pt idx="1">
                  <c:v>Operational Manager</c:v>
                </c:pt>
                <c:pt idx="2">
                  <c:v>Administrative Staff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'Personnel - Editable'!$M$31:$M$35</c15:sqref>
                  </c15:fullRef>
                </c:ext>
              </c:extLst>
              <c:f>'Personnel - Editable'!$M$31:$M$33</c:f>
              <c:numCache>
                <c:formatCode>0.0%</c:formatCode>
                <c:ptCount val="3"/>
                <c:pt idx="0">
                  <c:v>0.43478260869565216</c:v>
                </c:pt>
                <c:pt idx="1">
                  <c:v>0.30434782608695654</c:v>
                </c:pt>
                <c:pt idx="2">
                  <c:v>0.2608695652173913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'Personnel - Editable'!$M$34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77000">
                          <a:schemeClr val="accent4">
                            <a:lumMod val="60000"/>
                            <a:lumOff val="40000"/>
                          </a:schemeClr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'Personnel - Editable'!$M$35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100000">
                          <a:srgbClr val="7030A0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375519</c:v>
                </c:pt>
                <c:pt idx="1">
                  <c:v>398050.14</c:v>
                </c:pt>
                <c:pt idx="2">
                  <c:v>421933.14840000006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186807.26509999999</c:v>
                </c:pt>
                <c:pt idx="1">
                  <c:v>194494.776006</c:v>
                </c:pt>
                <c:pt idx="2">
                  <c:v>203001.90981635998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169935.7849</c:v>
                </c:pt>
                <c:pt idx="1">
                  <c:v>183652.85699400003</c:v>
                </c:pt>
                <c:pt idx="2">
                  <c:v>197834.58116364008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375519</c:v>
                </c:pt>
                <c:pt idx="1">
                  <c:v>398050.14</c:v>
                </c:pt>
                <c:pt idx="2">
                  <c:v>421933.14840000006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682494816353108E-2"/>
                  <c:y val="-2.97196861328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4.2824134162716843E-3"/>
                  <c:y val="4.0526844726659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169935.7849</c:v>
                </c:pt>
                <c:pt idx="1">
                  <c:v>183652.85699400003</c:v>
                </c:pt>
                <c:pt idx="2">
                  <c:v>197834.58116364008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5.6737582617323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1.6280016280016279E-3"/>
                  <c:y val="1.6210737890663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186807.26509999999</c:v>
                </c:pt>
                <c:pt idx="1">
                  <c:v>194494.776006</c:v>
                </c:pt>
                <c:pt idx="2">
                  <c:v>203001.90981635998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57290.918403432617</c:v>
                </c:pt>
                <c:pt idx="1">
                  <c:v>68369.743819444499</c:v>
                </c:pt>
                <c:pt idx="2">
                  <c:v>79849.385413791199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5"/>
          <c:order val="3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57290.918403432617</c:v>
                </c:pt>
                <c:pt idx="1">
                  <c:v>68369.743819444499</c:v>
                </c:pt>
                <c:pt idx="2">
                  <c:v>79849.385413791199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B3C-4A56-ADE9-1E1673B3F11A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B3C-4A56-ADE9-1E1673B3F11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1.651186253809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5-4556-989B-5FD7D0DA4F3C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2193451.7813366139</c:v>
                </c:pt>
                <c:pt idx="1">
                  <c:v>1961761.8629331812</c:v>
                </c:pt>
                <c:pt idx="2">
                  <c:v>231689.9184034327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2190932.5667317943</c:v>
                </c:pt>
                <c:pt idx="1">
                  <c:v>1921473.9045089169</c:v>
                </c:pt>
                <c:pt idx="2">
                  <c:v>269458.66222287738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2187736.4298990378</c:v>
                </c:pt>
                <c:pt idx="1">
                  <c:v>1879029.3822623689</c:v>
                </c:pt>
                <c:pt idx="2">
                  <c:v>308707.0476366689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2193451.7813366139</c:v>
                </c:pt>
                <c:pt idx="1">
                  <c:v>2190932.5667317943</c:v>
                </c:pt>
                <c:pt idx="2">
                  <c:v>2187736.4298990378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1961761.8629331812</c:v>
                </c:pt>
                <c:pt idx="1">
                  <c:v>1921473.9045089169</c:v>
                </c:pt>
                <c:pt idx="2">
                  <c:v>1879029.3822623689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231689.9184034327</c:v>
                </c:pt>
                <c:pt idx="1">
                  <c:v>269458.66222287738</c:v>
                </c:pt>
                <c:pt idx="2">
                  <c:v>308707.0476366689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552450</xdr:colOff>
      <xdr:row>29</xdr:row>
      <xdr:rowOff>95250</xdr:rowOff>
    </xdr:from>
    <xdr:to>
      <xdr:col>22</xdr:col>
      <xdr:colOff>18503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86BF83-C519-403C-8108-E84F081E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5575" y="56197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0</xdr:row>
      <xdr:rowOff>123825</xdr:rowOff>
    </xdr:from>
    <xdr:to>
      <xdr:col>22</xdr:col>
      <xdr:colOff>237578</xdr:colOff>
      <xdr:row>12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DC9ECF-7FC2-4FCC-8DD9-2AAA2B76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1238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552450</xdr:colOff>
      <xdr:row>2</xdr:row>
      <xdr:rowOff>19050</xdr:rowOff>
    </xdr:from>
    <xdr:to>
      <xdr:col>27</xdr:col>
      <xdr:colOff>18503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4967C-8F94-4D10-96CF-D4202738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5175" y="4000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152400</xdr:colOff>
      <xdr:row>2</xdr:row>
      <xdr:rowOff>95250</xdr:rowOff>
    </xdr:from>
    <xdr:to>
      <xdr:col>26</xdr:col>
      <xdr:colOff>228053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3D34F-D4F2-4EBA-B73B-00CA6029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4762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238125</xdr:colOff>
      <xdr:row>1</xdr:row>
      <xdr:rowOff>47625</xdr:rowOff>
    </xdr:from>
    <xdr:to>
      <xdr:col>26</xdr:col>
      <xdr:colOff>313778</xdr:colOff>
      <xdr:row>12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AFD99-6B0A-4577-82FC-46F3BCBB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2381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304937</xdr:colOff>
      <xdr:row>3</xdr:row>
      <xdr:rowOff>171449</xdr:rowOff>
    </xdr:from>
    <xdr:to>
      <xdr:col>5</xdr:col>
      <xdr:colOff>723353</xdr:colOff>
      <xdr:row>13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622DB9-9DCC-42D5-AA84-C9D9564EF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187" y="742949"/>
          <a:ext cx="2485341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266700</xdr:colOff>
      <xdr:row>0</xdr:row>
      <xdr:rowOff>0</xdr:rowOff>
    </xdr:from>
    <xdr:to>
      <xdr:col>26</xdr:col>
      <xdr:colOff>342353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0DAC2F-F744-4556-A918-07C80E0A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4</xdr:row>
      <xdr:rowOff>109537</xdr:rowOff>
    </xdr:from>
    <xdr:to>
      <xdr:col>18</xdr:col>
      <xdr:colOff>371474</xdr:colOff>
      <xdr:row>29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552450</xdr:colOff>
      <xdr:row>1</xdr:row>
      <xdr:rowOff>133350</xdr:rowOff>
    </xdr:from>
    <xdr:to>
      <xdr:col>24</xdr:col>
      <xdr:colOff>18503</xdr:colOff>
      <xdr:row>13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10BA55-EE3D-4222-A1A5-B9777DA6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3238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28575</xdr:colOff>
      <xdr:row>2</xdr:row>
      <xdr:rowOff>142875</xdr:rowOff>
    </xdr:from>
    <xdr:to>
      <xdr:col>25</xdr:col>
      <xdr:colOff>104228</xdr:colOff>
      <xdr:row>14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0547A7-96B4-4ACB-8F0D-12453A97E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5238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600075</xdr:colOff>
      <xdr:row>3</xdr:row>
      <xdr:rowOff>28575</xdr:rowOff>
    </xdr:from>
    <xdr:to>
      <xdr:col>25</xdr:col>
      <xdr:colOff>66128</xdr:colOff>
      <xdr:row>14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1E6212-ABF5-4995-B660-FE2E51FF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5175" y="6000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1</xdr:row>
      <xdr:rowOff>0</xdr:rowOff>
    </xdr:from>
    <xdr:to>
      <xdr:col>25</xdr:col>
      <xdr:colOff>94703</xdr:colOff>
      <xdr:row>12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74C4D6-5483-49A1-A1E4-F1D572A3D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1905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228600</xdr:colOff>
      <xdr:row>1</xdr:row>
      <xdr:rowOff>19050</xdr:rowOff>
    </xdr:from>
    <xdr:to>
      <xdr:col>25</xdr:col>
      <xdr:colOff>304253</xdr:colOff>
      <xdr:row>12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20221-3BF0-4546-913D-EF794ACF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2095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695325</xdr:colOff>
      <xdr:row>17</xdr:row>
      <xdr:rowOff>85725</xdr:rowOff>
    </xdr:from>
    <xdr:to>
      <xdr:col>12</xdr:col>
      <xdr:colOff>504278</xdr:colOff>
      <xdr:row>28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54274E-F6EE-41CC-8CDE-791B77EE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3242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51"/>
      <c r="C3" s="151"/>
      <c r="D3" s="151"/>
      <c r="E3" s="151"/>
    </row>
    <row r="4" spans="2:5">
      <c r="B4" s="152" t="s">
        <v>111</v>
      </c>
      <c r="C4" s="152" t="s">
        <v>57</v>
      </c>
      <c r="D4" s="152" t="s">
        <v>10</v>
      </c>
      <c r="E4" s="152" t="s">
        <v>8</v>
      </c>
    </row>
    <row r="5" spans="2:5">
      <c r="B5" s="66" t="s">
        <v>129</v>
      </c>
      <c r="C5" s="153">
        <v>0.05</v>
      </c>
      <c r="D5" s="153">
        <v>0.95</v>
      </c>
      <c r="E5" s="153">
        <f>C5+D5</f>
        <v>1</v>
      </c>
    </row>
    <row r="6" spans="2:5">
      <c r="B6" s="66" t="s">
        <v>128</v>
      </c>
      <c r="C6" s="153">
        <v>0.05</v>
      </c>
      <c r="D6" s="153">
        <v>0.95</v>
      </c>
      <c r="E6" s="153">
        <f t="shared" ref="E6:E12" si="0">C6+D6</f>
        <v>1</v>
      </c>
    </row>
    <row r="7" spans="2:5">
      <c r="B7" s="66" t="s">
        <v>103</v>
      </c>
      <c r="C7" s="153">
        <v>0.05</v>
      </c>
      <c r="D7" s="153">
        <v>0.95</v>
      </c>
      <c r="E7" s="153">
        <f t="shared" si="0"/>
        <v>1</v>
      </c>
    </row>
    <row r="8" spans="2:5">
      <c r="B8" s="66" t="s">
        <v>104</v>
      </c>
      <c r="C8" s="153">
        <v>0.05</v>
      </c>
      <c r="D8" s="153">
        <v>0.95</v>
      </c>
      <c r="E8" s="153">
        <f t="shared" si="0"/>
        <v>1</v>
      </c>
    </row>
    <row r="9" spans="2:5">
      <c r="B9" s="66" t="s">
        <v>105</v>
      </c>
      <c r="C9" s="153">
        <v>0.05</v>
      </c>
      <c r="D9" s="153">
        <v>0.95</v>
      </c>
      <c r="E9" s="153">
        <f t="shared" si="0"/>
        <v>1</v>
      </c>
    </row>
    <row r="10" spans="2:5">
      <c r="B10" s="66" t="s">
        <v>106</v>
      </c>
      <c r="C10" s="153">
        <v>0.05</v>
      </c>
      <c r="D10" s="153">
        <v>0.95</v>
      </c>
      <c r="E10" s="153">
        <f t="shared" si="0"/>
        <v>1</v>
      </c>
    </row>
    <row r="11" spans="2:5">
      <c r="B11" s="66" t="s">
        <v>107</v>
      </c>
      <c r="C11" s="153">
        <v>0.05</v>
      </c>
      <c r="D11" s="153">
        <v>0.95</v>
      </c>
      <c r="E11" s="153">
        <f t="shared" si="0"/>
        <v>1</v>
      </c>
    </row>
    <row r="12" spans="2:5">
      <c r="B12" s="66" t="s">
        <v>108</v>
      </c>
      <c r="C12" s="153">
        <v>0.05</v>
      </c>
      <c r="D12" s="153">
        <v>0.95</v>
      </c>
      <c r="E12" s="153">
        <f t="shared" si="0"/>
        <v>1</v>
      </c>
    </row>
    <row r="13" spans="2:5">
      <c r="B13" s="66" t="s">
        <v>109</v>
      </c>
      <c r="C13" s="153">
        <v>0.05</v>
      </c>
      <c r="D13" s="153">
        <v>0.95</v>
      </c>
      <c r="E13" s="153">
        <f t="shared" ref="E13:E14" si="1">C13+D13</f>
        <v>1</v>
      </c>
    </row>
    <row r="14" spans="2:5">
      <c r="B14" s="66" t="s">
        <v>110</v>
      </c>
      <c r="C14" s="153">
        <v>0.05</v>
      </c>
      <c r="D14" s="153">
        <v>0.95</v>
      </c>
      <c r="E14" s="153">
        <f t="shared" si="1"/>
        <v>1</v>
      </c>
    </row>
    <row r="16" spans="2:5">
      <c r="B16" s="151"/>
      <c r="C16" s="151"/>
      <c r="D16" s="151"/>
      <c r="E16" s="151"/>
    </row>
    <row r="17" spans="2:14">
      <c r="B17" s="152" t="s">
        <v>112</v>
      </c>
      <c r="C17" s="152">
        <v>1</v>
      </c>
      <c r="D17" s="152">
        <v>2</v>
      </c>
      <c r="E17" s="152">
        <v>3</v>
      </c>
    </row>
    <row r="18" spans="2:14">
      <c r="B18" s="70" t="s">
        <v>117</v>
      </c>
      <c r="C18" s="94">
        <v>35000</v>
      </c>
      <c r="D18" s="94">
        <f>C18*1.03</f>
        <v>36050</v>
      </c>
      <c r="E18" s="94">
        <f>D18*1.03</f>
        <v>37131.5</v>
      </c>
    </row>
    <row r="19" spans="2:14">
      <c r="B19" s="70" t="s">
        <v>50</v>
      </c>
      <c r="C19" s="94">
        <f>'Profit and Loss Statement'!E6*0.0157</f>
        <v>5895.6482999999998</v>
      </c>
      <c r="D19" s="94">
        <f>'Profit and Loss Statement'!F6*0.0157</f>
        <v>6249.3871979999994</v>
      </c>
      <c r="E19" s="94">
        <f>'Profit and Loss Statement'!G6*0.0157</f>
        <v>6624.3504298800008</v>
      </c>
    </row>
    <row r="20" spans="2:14">
      <c r="B20" s="70" t="s">
        <v>119</v>
      </c>
      <c r="C20" s="94">
        <f>'Profit and Loss Statement'!E6*0.0152</f>
        <v>5707.8887999999997</v>
      </c>
      <c r="D20" s="94">
        <f>'Profit and Loss Statement'!F6*0.0152</f>
        <v>6050.3621279999998</v>
      </c>
      <c r="E20" s="94">
        <f>'Profit and Loss Statement'!G6*0.0152</f>
        <v>6413.383855680001</v>
      </c>
    </row>
    <row r="21" spans="2:14">
      <c r="B21" s="70" t="s">
        <v>49</v>
      </c>
      <c r="C21" s="94">
        <f>'Personnel - Editable'!H16*0.06</f>
        <v>6900</v>
      </c>
      <c r="D21" s="94">
        <f>'Personnel - Editable'!I16*0.06</f>
        <v>7107</v>
      </c>
      <c r="E21" s="94">
        <f>'Personnel - Editable'!J16*0.06</f>
        <v>7320.21</v>
      </c>
      <c r="F21" s="119"/>
      <c r="G21" s="119"/>
    </row>
    <row r="22" spans="2:14">
      <c r="B22" s="70" t="s">
        <v>118</v>
      </c>
      <c r="C22" s="94">
        <f>'Profit and Loss Statement'!E6*0.012</f>
        <v>4506.2280000000001</v>
      </c>
      <c r="D22" s="94">
        <f>'Profit and Loss Statement'!F6*0.012</f>
        <v>4776.6016800000007</v>
      </c>
      <c r="E22" s="94">
        <f>'Profit and Loss Statement'!G6*0.012</f>
        <v>5063.1977808000011</v>
      </c>
      <c r="F22" s="1"/>
      <c r="G22" s="1"/>
    </row>
    <row r="23" spans="2:14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5" t="s">
        <v>113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2:14">
      <c r="B31" s="147" t="s">
        <v>5</v>
      </c>
      <c r="C31" s="148">
        <v>1</v>
      </c>
      <c r="D31" s="148">
        <f>C31+1</f>
        <v>2</v>
      </c>
      <c r="E31" s="148">
        <f t="shared" ref="E31:N31" si="2">D31+1</f>
        <v>3</v>
      </c>
      <c r="F31" s="148">
        <f t="shared" si="2"/>
        <v>4</v>
      </c>
      <c r="G31" s="148">
        <f t="shared" si="2"/>
        <v>5</v>
      </c>
      <c r="H31" s="148">
        <f t="shared" si="2"/>
        <v>6</v>
      </c>
      <c r="I31" s="148">
        <f t="shared" si="2"/>
        <v>7</v>
      </c>
      <c r="J31" s="148">
        <f t="shared" si="2"/>
        <v>8</v>
      </c>
      <c r="K31" s="148">
        <f t="shared" si="2"/>
        <v>9</v>
      </c>
      <c r="L31" s="148">
        <f t="shared" si="2"/>
        <v>10</v>
      </c>
      <c r="M31" s="148">
        <f t="shared" si="2"/>
        <v>11</v>
      </c>
      <c r="N31" s="148">
        <f t="shared" si="2"/>
        <v>12</v>
      </c>
    </row>
    <row r="32" spans="2:14">
      <c r="B32" s="66" t="str">
        <f t="shared" ref="B32:B41" si="3">B5</f>
        <v>Rental Income</v>
      </c>
      <c r="C32" s="94">
        <v>29000</v>
      </c>
      <c r="D32" s="94">
        <f>C32+20</f>
        <v>29020</v>
      </c>
      <c r="E32" s="94">
        <f t="shared" ref="E32:N32" si="4">D32+20</f>
        <v>29040</v>
      </c>
      <c r="F32" s="94">
        <f t="shared" si="4"/>
        <v>29060</v>
      </c>
      <c r="G32" s="94">
        <f t="shared" si="4"/>
        <v>29080</v>
      </c>
      <c r="H32" s="94">
        <f t="shared" si="4"/>
        <v>29100</v>
      </c>
      <c r="I32" s="94">
        <f t="shared" si="4"/>
        <v>29120</v>
      </c>
      <c r="J32" s="94">
        <f t="shared" si="4"/>
        <v>29140</v>
      </c>
      <c r="K32" s="94">
        <f t="shared" si="4"/>
        <v>29160</v>
      </c>
      <c r="L32" s="94">
        <f t="shared" si="4"/>
        <v>29180</v>
      </c>
      <c r="M32" s="94">
        <f t="shared" si="4"/>
        <v>29200</v>
      </c>
      <c r="N32" s="94">
        <f t="shared" si="4"/>
        <v>29220</v>
      </c>
    </row>
    <row r="33" spans="2:18">
      <c r="B33" s="66" t="str">
        <f t="shared" si="3"/>
        <v>Other Income</v>
      </c>
      <c r="C33" s="94">
        <f>C32*0.075</f>
        <v>2175</v>
      </c>
      <c r="D33" s="94">
        <f t="shared" ref="D33:N33" si="5">D32*0.075</f>
        <v>2176.5</v>
      </c>
      <c r="E33" s="94">
        <f t="shared" si="5"/>
        <v>2178</v>
      </c>
      <c r="F33" s="94">
        <f t="shared" si="5"/>
        <v>2179.5</v>
      </c>
      <c r="G33" s="94">
        <f t="shared" si="5"/>
        <v>2181</v>
      </c>
      <c r="H33" s="94">
        <f t="shared" si="5"/>
        <v>2182.5</v>
      </c>
      <c r="I33" s="94">
        <f t="shared" si="5"/>
        <v>2184</v>
      </c>
      <c r="J33" s="94">
        <f t="shared" si="5"/>
        <v>2185.5</v>
      </c>
      <c r="K33" s="94">
        <f t="shared" si="5"/>
        <v>2187</v>
      </c>
      <c r="L33" s="94">
        <f t="shared" si="5"/>
        <v>2188.5</v>
      </c>
      <c r="M33" s="94">
        <f t="shared" si="5"/>
        <v>2190</v>
      </c>
      <c r="N33" s="94">
        <f t="shared" si="5"/>
        <v>2191.5</v>
      </c>
    </row>
    <row r="34" spans="2:18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8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8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8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8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8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8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8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8">
      <c r="B42" s="149" t="s">
        <v>8</v>
      </c>
      <c r="C42" s="150">
        <f>SUM(C32:C41)</f>
        <v>31175</v>
      </c>
      <c r="D42" s="150">
        <f t="shared" ref="D42:N42" si="6">SUM(D32:D41)</f>
        <v>31196.5</v>
      </c>
      <c r="E42" s="150">
        <f t="shared" si="6"/>
        <v>31218</v>
      </c>
      <c r="F42" s="150">
        <f t="shared" si="6"/>
        <v>31239.5</v>
      </c>
      <c r="G42" s="150">
        <f t="shared" si="6"/>
        <v>31261</v>
      </c>
      <c r="H42" s="150">
        <f t="shared" si="6"/>
        <v>31282.5</v>
      </c>
      <c r="I42" s="150">
        <f t="shared" si="6"/>
        <v>31304</v>
      </c>
      <c r="J42" s="150">
        <f t="shared" si="6"/>
        <v>31325.5</v>
      </c>
      <c r="K42" s="150">
        <f t="shared" si="6"/>
        <v>31347</v>
      </c>
      <c r="L42" s="150">
        <f t="shared" si="6"/>
        <v>31368.5</v>
      </c>
      <c r="M42" s="150">
        <f t="shared" si="6"/>
        <v>31390</v>
      </c>
      <c r="N42" s="150">
        <f t="shared" si="6"/>
        <v>31411.5</v>
      </c>
    </row>
    <row r="43" spans="2:18">
      <c r="R43" s="144" t="s">
        <v>139</v>
      </c>
    </row>
    <row r="44" spans="2:18">
      <c r="B44" s="151"/>
      <c r="C44" s="151"/>
    </row>
    <row r="45" spans="2:18">
      <c r="B45" s="152" t="s">
        <v>126</v>
      </c>
      <c r="C45" s="152"/>
    </row>
    <row r="46" spans="2:18">
      <c r="B46" s="66" t="s">
        <v>3</v>
      </c>
      <c r="C46" s="143">
        <v>0.06</v>
      </c>
    </row>
    <row r="47" spans="2:18">
      <c r="B47" s="66" t="s">
        <v>4</v>
      </c>
      <c r="C47" s="143">
        <v>0.06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Rental Income</v>
      </c>
      <c r="C51" s="114">
        <f t="shared" ref="C51:N51" si="9">C32*($C$5/$E$5)</f>
        <v>1450</v>
      </c>
      <c r="D51" s="114">
        <f t="shared" si="9"/>
        <v>1451</v>
      </c>
      <c r="E51" s="114">
        <f t="shared" si="9"/>
        <v>1452</v>
      </c>
      <c r="F51" s="114">
        <f t="shared" si="9"/>
        <v>1453</v>
      </c>
      <c r="G51" s="114">
        <f t="shared" si="9"/>
        <v>1454</v>
      </c>
      <c r="H51" s="114">
        <f t="shared" si="9"/>
        <v>1455</v>
      </c>
      <c r="I51" s="114">
        <f t="shared" si="9"/>
        <v>1456</v>
      </c>
      <c r="J51" s="114">
        <f t="shared" si="9"/>
        <v>1457</v>
      </c>
      <c r="K51" s="114">
        <f t="shared" si="9"/>
        <v>1458</v>
      </c>
      <c r="L51" s="114">
        <f t="shared" si="9"/>
        <v>1459</v>
      </c>
      <c r="M51" s="114">
        <f t="shared" si="9"/>
        <v>1460</v>
      </c>
      <c r="N51" s="114">
        <f t="shared" si="9"/>
        <v>1461</v>
      </c>
    </row>
    <row r="52" spans="2:14">
      <c r="B52" s="112" t="str">
        <f t="shared" si="8"/>
        <v>Other Income</v>
      </c>
      <c r="C52" s="114">
        <f t="shared" ref="C52:N52" si="10">C33*($C$6/$E$6)</f>
        <v>108.75</v>
      </c>
      <c r="D52" s="114">
        <f t="shared" si="10"/>
        <v>108.825</v>
      </c>
      <c r="E52" s="114">
        <f t="shared" si="10"/>
        <v>108.9</v>
      </c>
      <c r="F52" s="114">
        <f t="shared" si="10"/>
        <v>108.97500000000001</v>
      </c>
      <c r="G52" s="114">
        <f t="shared" si="10"/>
        <v>109.05000000000001</v>
      </c>
      <c r="H52" s="114">
        <f t="shared" si="10"/>
        <v>109.125</v>
      </c>
      <c r="I52" s="114">
        <f t="shared" si="10"/>
        <v>109.2</v>
      </c>
      <c r="J52" s="114">
        <f t="shared" si="10"/>
        <v>109.27500000000001</v>
      </c>
      <c r="K52" s="114">
        <f t="shared" si="10"/>
        <v>109.35000000000001</v>
      </c>
      <c r="L52" s="114">
        <f t="shared" si="10"/>
        <v>109.42500000000001</v>
      </c>
      <c r="M52" s="114">
        <f t="shared" si="10"/>
        <v>109.5</v>
      </c>
      <c r="N52" s="114">
        <f t="shared" si="10"/>
        <v>109.575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1558.75</v>
      </c>
      <c r="D61" s="114">
        <f t="shared" ref="D61:N61" si="19">SUM(D51:D60)</f>
        <v>1559.825</v>
      </c>
      <c r="E61" s="114">
        <f t="shared" si="19"/>
        <v>1560.9</v>
      </c>
      <c r="F61" s="114">
        <f t="shared" si="19"/>
        <v>1561.9749999999999</v>
      </c>
      <c r="G61" s="114">
        <f t="shared" si="19"/>
        <v>1563.05</v>
      </c>
      <c r="H61" s="114">
        <f t="shared" si="19"/>
        <v>1564.125</v>
      </c>
      <c r="I61" s="114">
        <f t="shared" si="19"/>
        <v>1565.2</v>
      </c>
      <c r="J61" s="114">
        <f t="shared" si="19"/>
        <v>1566.2750000000001</v>
      </c>
      <c r="K61" s="114">
        <f t="shared" si="19"/>
        <v>1567.35</v>
      </c>
      <c r="L61" s="114">
        <f t="shared" si="19"/>
        <v>1568.425</v>
      </c>
      <c r="M61" s="114">
        <f t="shared" si="19"/>
        <v>1569.5</v>
      </c>
      <c r="N61" s="114">
        <f t="shared" si="19"/>
        <v>1570.575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29616.25</v>
      </c>
      <c r="D66" s="114">
        <f t="shared" si="21"/>
        <v>29636.674999999999</v>
      </c>
      <c r="E66" s="114">
        <f t="shared" si="21"/>
        <v>29657.1</v>
      </c>
      <c r="F66" s="114">
        <f t="shared" si="21"/>
        <v>29677.525000000001</v>
      </c>
      <c r="G66" s="114">
        <f t="shared" si="21"/>
        <v>29697.95</v>
      </c>
      <c r="H66" s="114">
        <f t="shared" si="21"/>
        <v>29718.375</v>
      </c>
      <c r="I66" s="114">
        <f t="shared" si="21"/>
        <v>29738.799999999999</v>
      </c>
      <c r="J66" s="114">
        <f t="shared" si="21"/>
        <v>29759.224999999999</v>
      </c>
      <c r="K66" s="114">
        <f t="shared" si="21"/>
        <v>29779.65</v>
      </c>
      <c r="L66" s="114">
        <f t="shared" si="21"/>
        <v>29800.075000000001</v>
      </c>
      <c r="M66" s="114">
        <f t="shared" si="21"/>
        <v>29820.5</v>
      </c>
      <c r="N66" s="114">
        <f t="shared" si="21"/>
        <v>29840.924999999999</v>
      </c>
    </row>
  </sheetData>
  <sheetProtection algorithmName="SHA-512" hashValue="xrs0lnV+66JkHL/qL0UjFlyZCJfwZUKtfne9C2P2IelwqDWM6P53cQ8z1U0L1qsVV8OH/nWHfXd/RCRoy8qeUA==" saltValue="D9LDqDnjqMu7uQR+ni3zvw==" spinCount="100000" sheet="1" objects="1" scenarios="1" selectLockedCells="1"/>
  <hyperlinks>
    <hyperlink ref="R43" r:id="rId1" xr:uid="{BC57A1BB-A3AC-4634-84AD-013AEF8541C1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N471"/>
  <sheetViews>
    <sheetView showGridLines="0" workbookViewId="0">
      <selection activeCell="Q7" sqref="Q7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14">
      <c r="A4" s="53" t="s">
        <v>34</v>
      </c>
      <c r="B4" s="54"/>
      <c r="C4" s="55"/>
      <c r="D4" s="56" t="s">
        <v>35</v>
      </c>
      <c r="E4" s="55"/>
    </row>
    <row r="5" spans="1:14">
      <c r="A5" s="57" t="s">
        <v>37</v>
      </c>
      <c r="B5" s="58">
        <f>'Use of Funds'!E22</f>
        <v>2000000</v>
      </c>
      <c r="C5" s="55"/>
      <c r="D5" s="56" t="s">
        <v>36</v>
      </c>
      <c r="E5" s="59">
        <f>PMT(B6/B8,(B7*B8),-B5)</f>
        <v>11691.800830159582</v>
      </c>
    </row>
    <row r="6" spans="1:14">
      <c r="A6" s="60" t="s">
        <v>39</v>
      </c>
      <c r="B6" s="54">
        <v>0.05</v>
      </c>
      <c r="C6" s="55"/>
      <c r="D6" s="56" t="s">
        <v>38</v>
      </c>
      <c r="E6" s="59">
        <f>SUM(D14:D600)</f>
        <v>1507540.2490478731</v>
      </c>
    </row>
    <row r="7" spans="1:14">
      <c r="A7" s="60" t="s">
        <v>40</v>
      </c>
      <c r="B7" s="60">
        <v>25</v>
      </c>
      <c r="C7" s="55"/>
      <c r="D7" s="55"/>
      <c r="E7" s="55"/>
    </row>
    <row r="8" spans="1:14">
      <c r="A8" s="53" t="s">
        <v>41</v>
      </c>
      <c r="B8" s="53">
        <v>12</v>
      </c>
      <c r="C8" s="55"/>
      <c r="D8" s="55"/>
      <c r="E8" s="55"/>
    </row>
    <row r="9" spans="1:14">
      <c r="A9" s="55"/>
      <c r="B9" s="55"/>
      <c r="C9" s="55"/>
      <c r="D9" s="55"/>
      <c r="E9" s="55"/>
      <c r="N9" s="112" t="s">
        <v>138</v>
      </c>
    </row>
    <row r="13" spans="1:14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14">
      <c r="A14">
        <v>1</v>
      </c>
      <c r="B14" s="1">
        <f>$E$5</f>
        <v>11691.800830159582</v>
      </c>
      <c r="C14" s="1">
        <f>B14-D14</f>
        <v>3358.467496826248</v>
      </c>
      <c r="D14" s="1">
        <f>(B5*($B$6/$B$8))</f>
        <v>8333.3333333333339</v>
      </c>
      <c r="E14" s="1">
        <f>B5-C14</f>
        <v>1996641.5325031737</v>
      </c>
    </row>
    <row r="15" spans="1:14">
      <c r="A15">
        <f>IF(($B$7*$B$8&gt;A14),IF(($B$7*$B$8)=A14,"",A14+1),"")</f>
        <v>2</v>
      </c>
      <c r="B15" s="1">
        <f>IF(A15="","",$B$14)</f>
        <v>11691.800830159582</v>
      </c>
      <c r="C15" s="1">
        <f>IF(A15="","",B15-D15)</f>
        <v>3372.4611113963583</v>
      </c>
      <c r="D15" s="1">
        <f>IF(A15="","",(E14*($B$6/$B$8)))</f>
        <v>8319.3397187632236</v>
      </c>
      <c r="E15" s="1">
        <f>IF(A15="","",E14-C15)</f>
        <v>1993269.0713917774</v>
      </c>
    </row>
    <row r="16" spans="1:14">
      <c r="A16">
        <f t="shared" ref="A16:A79" si="0">IF(($B$7*$B$8&gt;A15),IF(($B$7*$B$8)=A15,"",A15+1),"")</f>
        <v>3</v>
      </c>
      <c r="B16" s="1">
        <f t="shared" ref="B16:B79" si="1">IF(A16="","",$B$14)</f>
        <v>11691.800830159582</v>
      </c>
      <c r="C16" s="1">
        <f t="shared" ref="C16:C79" si="2">IF(A16="","",B16-D16)</f>
        <v>3386.5130326938433</v>
      </c>
      <c r="D16" s="1">
        <f t="shared" ref="D16:D79" si="3">IF(A16="","",(E15*($B$6/$B$8)))</f>
        <v>8305.2877974657385</v>
      </c>
      <c r="E16" s="1">
        <f t="shared" ref="E16:E79" si="4">IF(A16="","",E15-C16)</f>
        <v>1989882.5583590835</v>
      </c>
    </row>
    <row r="17" spans="1:5">
      <c r="A17">
        <f t="shared" si="0"/>
        <v>4</v>
      </c>
      <c r="B17" s="1">
        <f t="shared" si="1"/>
        <v>11691.800830159582</v>
      </c>
      <c r="C17" s="1">
        <f t="shared" si="2"/>
        <v>3400.6235036634007</v>
      </c>
      <c r="D17" s="1">
        <f t="shared" si="3"/>
        <v>8291.1773264961812</v>
      </c>
      <c r="E17" s="1">
        <f t="shared" si="4"/>
        <v>1986481.9348554201</v>
      </c>
    </row>
    <row r="18" spans="1:5">
      <c r="A18">
        <f t="shared" si="0"/>
        <v>5</v>
      </c>
      <c r="B18" s="1">
        <f t="shared" si="1"/>
        <v>11691.800830159582</v>
      </c>
      <c r="C18" s="1">
        <f t="shared" si="2"/>
        <v>3414.7927682619975</v>
      </c>
      <c r="D18" s="1">
        <f t="shared" si="3"/>
        <v>8277.0080618975844</v>
      </c>
      <c r="E18" s="1">
        <f t="shared" si="4"/>
        <v>1983067.142087158</v>
      </c>
    </row>
    <row r="19" spans="1:5">
      <c r="A19">
        <f t="shared" si="0"/>
        <v>6</v>
      </c>
      <c r="B19" s="1">
        <f t="shared" si="1"/>
        <v>11691.800830159582</v>
      </c>
      <c r="C19" s="1">
        <f t="shared" si="2"/>
        <v>3429.0210714630903</v>
      </c>
      <c r="D19" s="1">
        <f t="shared" si="3"/>
        <v>8262.7797586964916</v>
      </c>
      <c r="E19" s="1">
        <f t="shared" si="4"/>
        <v>1979638.1210156949</v>
      </c>
    </row>
    <row r="20" spans="1:5">
      <c r="A20">
        <f t="shared" si="0"/>
        <v>7</v>
      </c>
      <c r="B20" s="1">
        <f t="shared" si="1"/>
        <v>11691.800830159582</v>
      </c>
      <c r="C20" s="1">
        <f t="shared" si="2"/>
        <v>3443.3086592608524</v>
      </c>
      <c r="D20" s="1">
        <f t="shared" si="3"/>
        <v>8248.4921708987295</v>
      </c>
      <c r="E20" s="1">
        <f t="shared" si="4"/>
        <v>1976194.8123564341</v>
      </c>
    </row>
    <row r="21" spans="1:5">
      <c r="A21">
        <f t="shared" si="0"/>
        <v>8</v>
      </c>
      <c r="B21" s="1">
        <f t="shared" si="1"/>
        <v>11691.800830159582</v>
      </c>
      <c r="C21" s="1">
        <f t="shared" si="2"/>
        <v>3457.6557786744397</v>
      </c>
      <c r="D21" s="1">
        <f t="shared" si="3"/>
        <v>8234.1450514851422</v>
      </c>
      <c r="E21" s="1">
        <f t="shared" si="4"/>
        <v>1972737.1565777597</v>
      </c>
    </row>
    <row r="22" spans="1:5">
      <c r="A22">
        <f t="shared" si="0"/>
        <v>9</v>
      </c>
      <c r="B22" s="1">
        <f t="shared" si="1"/>
        <v>11691.800830159582</v>
      </c>
      <c r="C22" s="1">
        <f t="shared" si="2"/>
        <v>3472.0626777522502</v>
      </c>
      <c r="D22" s="1">
        <f t="shared" si="3"/>
        <v>8219.7381524073317</v>
      </c>
      <c r="E22" s="1">
        <f t="shared" si="4"/>
        <v>1969265.0939000074</v>
      </c>
    </row>
    <row r="23" spans="1:5">
      <c r="A23">
        <f t="shared" si="0"/>
        <v>10</v>
      </c>
      <c r="B23" s="1">
        <f t="shared" si="1"/>
        <v>11691.800830159582</v>
      </c>
      <c r="C23" s="1">
        <f t="shared" si="2"/>
        <v>3486.5296055762174</v>
      </c>
      <c r="D23" s="1">
        <f t="shared" si="3"/>
        <v>8205.2712245833645</v>
      </c>
      <c r="E23" s="1">
        <f t="shared" si="4"/>
        <v>1965778.5642944311</v>
      </c>
    </row>
    <row r="24" spans="1:5">
      <c r="A24">
        <f t="shared" si="0"/>
        <v>11</v>
      </c>
      <c r="B24" s="1">
        <f t="shared" si="1"/>
        <v>11691.800830159582</v>
      </c>
      <c r="C24" s="1">
        <f t="shared" si="2"/>
        <v>3501.0568122661189</v>
      </c>
      <c r="D24" s="1">
        <f t="shared" si="3"/>
        <v>8190.744017893463</v>
      </c>
      <c r="E24" s="1">
        <f t="shared" si="4"/>
        <v>1962277.507482165</v>
      </c>
    </row>
    <row r="25" spans="1:5">
      <c r="A25">
        <f t="shared" si="0"/>
        <v>12</v>
      </c>
      <c r="B25" s="1">
        <f t="shared" si="1"/>
        <v>11691.800830159582</v>
      </c>
      <c r="C25" s="1">
        <f t="shared" si="2"/>
        <v>3515.6445489838943</v>
      </c>
      <c r="D25" s="1">
        <f t="shared" si="3"/>
        <v>8176.1562811756876</v>
      </c>
      <c r="E25" s="1">
        <f t="shared" si="4"/>
        <v>1958761.8629331812</v>
      </c>
    </row>
    <row r="26" spans="1:5">
      <c r="A26">
        <f t="shared" si="0"/>
        <v>13</v>
      </c>
      <c r="B26" s="1">
        <f t="shared" si="1"/>
        <v>11691.800830159582</v>
      </c>
      <c r="C26" s="1">
        <f t="shared" si="2"/>
        <v>3530.2930679379933</v>
      </c>
      <c r="D26" s="1">
        <f t="shared" si="3"/>
        <v>8161.5077622215886</v>
      </c>
      <c r="E26" s="1">
        <f t="shared" si="4"/>
        <v>1955231.5698652433</v>
      </c>
    </row>
    <row r="27" spans="1:5">
      <c r="A27">
        <f t="shared" si="0"/>
        <v>14</v>
      </c>
      <c r="B27" s="1">
        <f t="shared" si="1"/>
        <v>11691.800830159582</v>
      </c>
      <c r="C27" s="1">
        <f t="shared" si="2"/>
        <v>3545.0026223877348</v>
      </c>
      <c r="D27" s="1">
        <f t="shared" si="3"/>
        <v>8146.798207771847</v>
      </c>
      <c r="E27" s="1">
        <f t="shared" si="4"/>
        <v>1951686.5672428554</v>
      </c>
    </row>
    <row r="28" spans="1:5">
      <c r="A28">
        <f t="shared" si="0"/>
        <v>15</v>
      </c>
      <c r="B28" s="1">
        <f t="shared" si="1"/>
        <v>11691.800830159582</v>
      </c>
      <c r="C28" s="1">
        <f t="shared" si="2"/>
        <v>3559.7734666476845</v>
      </c>
      <c r="D28" s="1">
        <f t="shared" si="3"/>
        <v>8132.0273635118974</v>
      </c>
      <c r="E28" s="1">
        <f t="shared" si="4"/>
        <v>1948126.7937762078</v>
      </c>
    </row>
    <row r="29" spans="1:5">
      <c r="A29">
        <f t="shared" si="0"/>
        <v>16</v>
      </c>
      <c r="B29" s="1">
        <f t="shared" si="1"/>
        <v>11691.800830159582</v>
      </c>
      <c r="C29" s="1">
        <f t="shared" si="2"/>
        <v>3574.6058560920492</v>
      </c>
      <c r="D29" s="1">
        <f t="shared" si="3"/>
        <v>8117.1949740675327</v>
      </c>
      <c r="E29" s="1">
        <f t="shared" si="4"/>
        <v>1944552.1879201159</v>
      </c>
    </row>
    <row r="30" spans="1:5">
      <c r="A30">
        <f t="shared" si="0"/>
        <v>17</v>
      </c>
      <c r="B30" s="1">
        <f t="shared" si="1"/>
        <v>11691.800830159582</v>
      </c>
      <c r="C30" s="1">
        <f t="shared" si="2"/>
        <v>3589.5000471590993</v>
      </c>
      <c r="D30" s="1">
        <f t="shared" si="3"/>
        <v>8102.3007830004826</v>
      </c>
      <c r="E30" s="1">
        <f t="shared" si="4"/>
        <v>1940962.6878729567</v>
      </c>
    </row>
    <row r="31" spans="1:5">
      <c r="A31">
        <f t="shared" si="0"/>
        <v>18</v>
      </c>
      <c r="B31" s="1">
        <f t="shared" si="1"/>
        <v>11691.800830159582</v>
      </c>
      <c r="C31" s="1">
        <f t="shared" si="2"/>
        <v>3604.4562973555958</v>
      </c>
      <c r="D31" s="1">
        <f t="shared" si="3"/>
        <v>8087.3445328039861</v>
      </c>
      <c r="E31" s="1">
        <f t="shared" si="4"/>
        <v>1937358.231575601</v>
      </c>
    </row>
    <row r="32" spans="1:5">
      <c r="A32">
        <f t="shared" si="0"/>
        <v>19</v>
      </c>
      <c r="B32" s="1">
        <f t="shared" si="1"/>
        <v>11691.800830159582</v>
      </c>
      <c r="C32" s="1">
        <f t="shared" si="2"/>
        <v>3619.4748652612443</v>
      </c>
      <c r="D32" s="1">
        <f t="shared" si="3"/>
        <v>8072.3259648983376</v>
      </c>
      <c r="E32" s="1">
        <f t="shared" si="4"/>
        <v>1933738.7567103398</v>
      </c>
    </row>
    <row r="33" spans="1:5">
      <c r="A33">
        <f t="shared" si="0"/>
        <v>20</v>
      </c>
      <c r="B33" s="1">
        <f t="shared" si="1"/>
        <v>11691.800830159582</v>
      </c>
      <c r="C33" s="1">
        <f t="shared" si="2"/>
        <v>3634.556010533166</v>
      </c>
      <c r="D33" s="1">
        <f t="shared" si="3"/>
        <v>8057.2448196264158</v>
      </c>
      <c r="E33" s="1">
        <f t="shared" si="4"/>
        <v>1930104.2006998067</v>
      </c>
    </row>
    <row r="34" spans="1:5">
      <c r="A34">
        <f t="shared" si="0"/>
        <v>21</v>
      </c>
      <c r="B34" s="1">
        <f t="shared" si="1"/>
        <v>11691.800830159582</v>
      </c>
      <c r="C34" s="1">
        <f t="shared" si="2"/>
        <v>3649.6999939103871</v>
      </c>
      <c r="D34" s="1">
        <f t="shared" si="3"/>
        <v>8042.1008362491948</v>
      </c>
      <c r="E34" s="1">
        <f t="shared" si="4"/>
        <v>1926454.5007058962</v>
      </c>
    </row>
    <row r="35" spans="1:5">
      <c r="A35">
        <f t="shared" si="0"/>
        <v>22</v>
      </c>
      <c r="B35" s="1">
        <f t="shared" si="1"/>
        <v>11691.800830159582</v>
      </c>
      <c r="C35" s="1">
        <f t="shared" si="2"/>
        <v>3664.9070772183477</v>
      </c>
      <c r="D35" s="1">
        <f t="shared" si="3"/>
        <v>8026.8937529412342</v>
      </c>
      <c r="E35" s="1">
        <f t="shared" si="4"/>
        <v>1922789.5936286778</v>
      </c>
    </row>
    <row r="36" spans="1:5">
      <c r="A36">
        <f t="shared" si="0"/>
        <v>23</v>
      </c>
      <c r="B36" s="1">
        <f t="shared" si="1"/>
        <v>11691.800830159582</v>
      </c>
      <c r="C36" s="1">
        <f t="shared" si="2"/>
        <v>3680.1775233734243</v>
      </c>
      <c r="D36" s="1">
        <f t="shared" si="3"/>
        <v>8011.6233067861576</v>
      </c>
      <c r="E36" s="1">
        <f t="shared" si="4"/>
        <v>1919109.4161053044</v>
      </c>
    </row>
    <row r="37" spans="1:5">
      <c r="A37">
        <f t="shared" si="0"/>
        <v>24</v>
      </c>
      <c r="B37" s="1">
        <f t="shared" si="1"/>
        <v>11691.800830159582</v>
      </c>
      <c r="C37" s="1">
        <f t="shared" si="2"/>
        <v>3695.5115963874805</v>
      </c>
      <c r="D37" s="1">
        <f t="shared" si="3"/>
        <v>7996.2892337721014</v>
      </c>
      <c r="E37" s="1">
        <f t="shared" si="4"/>
        <v>1915413.9045089169</v>
      </c>
    </row>
    <row r="38" spans="1:5">
      <c r="A38">
        <f t="shared" si="0"/>
        <v>25</v>
      </c>
      <c r="B38" s="1">
        <f t="shared" si="1"/>
        <v>11691.800830159582</v>
      </c>
      <c r="C38" s="1">
        <f t="shared" si="2"/>
        <v>3710.9095613724285</v>
      </c>
      <c r="D38" s="1">
        <f t="shared" si="3"/>
        <v>7980.8912687871534</v>
      </c>
      <c r="E38" s="1">
        <f t="shared" si="4"/>
        <v>1911702.9949475445</v>
      </c>
    </row>
    <row r="39" spans="1:5">
      <c r="A39">
        <f t="shared" si="0"/>
        <v>26</v>
      </c>
      <c r="B39" s="1">
        <f t="shared" si="1"/>
        <v>11691.800830159582</v>
      </c>
      <c r="C39" s="1">
        <f t="shared" si="2"/>
        <v>3726.3716845448134</v>
      </c>
      <c r="D39" s="1">
        <f t="shared" si="3"/>
        <v>7965.4291456147685</v>
      </c>
      <c r="E39" s="1">
        <f t="shared" si="4"/>
        <v>1907976.6232629998</v>
      </c>
    </row>
    <row r="40" spans="1:5">
      <c r="A40">
        <f t="shared" si="0"/>
        <v>27</v>
      </c>
      <c r="B40" s="1">
        <f t="shared" si="1"/>
        <v>11691.800830159582</v>
      </c>
      <c r="C40" s="1">
        <f t="shared" si="2"/>
        <v>3741.8982332304158</v>
      </c>
      <c r="D40" s="1">
        <f t="shared" si="3"/>
        <v>7949.9025969291661</v>
      </c>
      <c r="E40" s="1">
        <f t="shared" si="4"/>
        <v>1904234.7250297694</v>
      </c>
    </row>
    <row r="41" spans="1:5">
      <c r="A41">
        <f t="shared" si="0"/>
        <v>28</v>
      </c>
      <c r="B41" s="1">
        <f t="shared" si="1"/>
        <v>11691.800830159582</v>
      </c>
      <c r="C41" s="1">
        <f t="shared" si="2"/>
        <v>3757.4894758688761</v>
      </c>
      <c r="D41" s="1">
        <f t="shared" si="3"/>
        <v>7934.3113542907058</v>
      </c>
      <c r="E41" s="1">
        <f t="shared" si="4"/>
        <v>1900477.2355539005</v>
      </c>
    </row>
    <row r="42" spans="1:5">
      <c r="A42">
        <f t="shared" si="0"/>
        <v>29</v>
      </c>
      <c r="B42" s="1">
        <f t="shared" si="1"/>
        <v>11691.800830159582</v>
      </c>
      <c r="C42" s="1">
        <f t="shared" si="2"/>
        <v>3773.1456820183303</v>
      </c>
      <c r="D42" s="1">
        <f t="shared" si="3"/>
        <v>7918.6551481412516</v>
      </c>
      <c r="E42" s="1">
        <f t="shared" si="4"/>
        <v>1896704.0898718822</v>
      </c>
    </row>
    <row r="43" spans="1:5">
      <c r="A43">
        <f t="shared" si="0"/>
        <v>30</v>
      </c>
      <c r="B43" s="1">
        <f t="shared" si="1"/>
        <v>11691.800830159582</v>
      </c>
      <c r="C43" s="1">
        <f t="shared" si="2"/>
        <v>3788.8671223600732</v>
      </c>
      <c r="D43" s="1">
        <f t="shared" si="3"/>
        <v>7902.9337077995087</v>
      </c>
      <c r="E43" s="1">
        <f t="shared" si="4"/>
        <v>1892915.2227495222</v>
      </c>
    </row>
    <row r="44" spans="1:5">
      <c r="A44">
        <f t="shared" si="0"/>
        <v>31</v>
      </c>
      <c r="B44" s="1">
        <f t="shared" si="1"/>
        <v>11691.800830159582</v>
      </c>
      <c r="C44" s="1">
        <f t="shared" si="2"/>
        <v>3804.6540687032393</v>
      </c>
      <c r="D44" s="1">
        <f t="shared" si="3"/>
        <v>7887.1467614563426</v>
      </c>
      <c r="E44" s="1">
        <f t="shared" si="4"/>
        <v>1889110.5686808189</v>
      </c>
    </row>
    <row r="45" spans="1:5">
      <c r="A45">
        <f t="shared" si="0"/>
        <v>32</v>
      </c>
      <c r="B45" s="1">
        <f t="shared" si="1"/>
        <v>11691.800830159582</v>
      </c>
      <c r="C45" s="1">
        <f t="shared" si="2"/>
        <v>3820.5067939895034</v>
      </c>
      <c r="D45" s="1">
        <f t="shared" si="3"/>
        <v>7871.2940361700785</v>
      </c>
      <c r="E45" s="1">
        <f t="shared" si="4"/>
        <v>1885290.0618868293</v>
      </c>
    </row>
    <row r="46" spans="1:5">
      <c r="A46">
        <f t="shared" si="0"/>
        <v>33</v>
      </c>
      <c r="B46" s="1">
        <f t="shared" si="1"/>
        <v>11691.800830159582</v>
      </c>
      <c r="C46" s="1">
        <f t="shared" si="2"/>
        <v>3836.4255722977932</v>
      </c>
      <c r="D46" s="1">
        <f t="shared" si="3"/>
        <v>7855.3752578617887</v>
      </c>
      <c r="E46" s="1">
        <f t="shared" si="4"/>
        <v>1881453.6363145316</v>
      </c>
    </row>
    <row r="47" spans="1:5">
      <c r="A47">
        <f t="shared" si="0"/>
        <v>34</v>
      </c>
      <c r="B47" s="1">
        <f t="shared" si="1"/>
        <v>11691.800830159582</v>
      </c>
      <c r="C47" s="1">
        <f t="shared" si="2"/>
        <v>3852.4106788490335</v>
      </c>
      <c r="D47" s="1">
        <f t="shared" si="3"/>
        <v>7839.3901513105484</v>
      </c>
      <c r="E47" s="1">
        <f t="shared" si="4"/>
        <v>1877601.2256356825</v>
      </c>
    </row>
    <row r="48" spans="1:5">
      <c r="A48">
        <f t="shared" si="0"/>
        <v>35</v>
      </c>
      <c r="B48" s="1">
        <f t="shared" si="1"/>
        <v>11691.800830159582</v>
      </c>
      <c r="C48" s="1">
        <f t="shared" si="2"/>
        <v>3868.4623900109054</v>
      </c>
      <c r="D48" s="1">
        <f t="shared" si="3"/>
        <v>7823.3384401486765</v>
      </c>
      <c r="E48" s="1">
        <f t="shared" si="4"/>
        <v>1873732.7632456715</v>
      </c>
    </row>
    <row r="49" spans="1:5">
      <c r="A49">
        <f t="shared" si="0"/>
        <v>36</v>
      </c>
      <c r="B49" s="1">
        <f t="shared" si="1"/>
        <v>11691.800830159582</v>
      </c>
      <c r="C49" s="1">
        <f t="shared" si="2"/>
        <v>3884.5809833026169</v>
      </c>
      <c r="D49" s="1">
        <f t="shared" si="3"/>
        <v>7807.219846856965</v>
      </c>
      <c r="E49" s="1">
        <f t="shared" si="4"/>
        <v>1869848.182262369</v>
      </c>
    </row>
    <row r="50" spans="1:5">
      <c r="A50">
        <f t="shared" si="0"/>
        <v>37</v>
      </c>
      <c r="B50" s="1">
        <f t="shared" si="1"/>
        <v>11691.800830159582</v>
      </c>
      <c r="C50" s="1">
        <f t="shared" si="2"/>
        <v>3900.766737399711</v>
      </c>
      <c r="D50" s="1">
        <f t="shared" si="3"/>
        <v>7791.0340927598709</v>
      </c>
      <c r="E50" s="1">
        <f t="shared" si="4"/>
        <v>1865947.4155249693</v>
      </c>
    </row>
    <row r="51" spans="1:5">
      <c r="A51">
        <f t="shared" si="0"/>
        <v>38</v>
      </c>
      <c r="B51" s="1">
        <f t="shared" si="1"/>
        <v>11691.800830159582</v>
      </c>
      <c r="C51" s="1">
        <f t="shared" si="2"/>
        <v>3917.0199321388764</v>
      </c>
      <c r="D51" s="1">
        <f t="shared" si="3"/>
        <v>7774.7808980207055</v>
      </c>
      <c r="E51" s="1">
        <f t="shared" si="4"/>
        <v>1862030.3955928304</v>
      </c>
    </row>
    <row r="52" spans="1:5">
      <c r="A52">
        <f t="shared" si="0"/>
        <v>39</v>
      </c>
      <c r="B52" s="1">
        <f t="shared" si="1"/>
        <v>11691.800830159582</v>
      </c>
      <c r="C52" s="1">
        <f t="shared" si="2"/>
        <v>3933.3408485227892</v>
      </c>
      <c r="D52" s="1">
        <f t="shared" si="3"/>
        <v>7758.4599816367927</v>
      </c>
      <c r="E52" s="1">
        <f t="shared" si="4"/>
        <v>1858097.0547443077</v>
      </c>
    </row>
    <row r="53" spans="1:5">
      <c r="A53">
        <f t="shared" si="0"/>
        <v>40</v>
      </c>
      <c r="B53" s="1">
        <f t="shared" si="1"/>
        <v>11691.800830159582</v>
      </c>
      <c r="C53" s="1">
        <f t="shared" si="2"/>
        <v>3949.7297687249666</v>
      </c>
      <c r="D53" s="1">
        <f t="shared" si="3"/>
        <v>7742.0710614346153</v>
      </c>
      <c r="E53" s="1">
        <f t="shared" si="4"/>
        <v>1854147.3249755828</v>
      </c>
    </row>
    <row r="54" spans="1:5">
      <c r="A54">
        <f t="shared" si="0"/>
        <v>41</v>
      </c>
      <c r="B54" s="1">
        <f t="shared" si="1"/>
        <v>11691.800830159582</v>
      </c>
      <c r="C54" s="1">
        <f t="shared" si="2"/>
        <v>3966.1869760946538</v>
      </c>
      <c r="D54" s="1">
        <f t="shared" si="3"/>
        <v>7725.6138540649281</v>
      </c>
      <c r="E54" s="1">
        <f t="shared" si="4"/>
        <v>1850181.137999488</v>
      </c>
    </row>
    <row r="55" spans="1:5">
      <c r="A55">
        <f t="shared" si="0"/>
        <v>42</v>
      </c>
      <c r="B55" s="1">
        <f t="shared" si="1"/>
        <v>11691.800830159582</v>
      </c>
      <c r="C55" s="1">
        <f t="shared" si="2"/>
        <v>3982.712755161715</v>
      </c>
      <c r="D55" s="1">
        <f t="shared" si="3"/>
        <v>7709.0880749978669</v>
      </c>
      <c r="E55" s="1">
        <f t="shared" si="4"/>
        <v>1846198.4252443262</v>
      </c>
    </row>
    <row r="56" spans="1:5">
      <c r="A56">
        <f t="shared" si="0"/>
        <v>43</v>
      </c>
      <c r="B56" s="1">
        <f t="shared" si="1"/>
        <v>11691.800830159582</v>
      </c>
      <c r="C56" s="1">
        <f t="shared" si="2"/>
        <v>3999.307391641556</v>
      </c>
      <c r="D56" s="1">
        <f t="shared" si="3"/>
        <v>7692.4934385180259</v>
      </c>
      <c r="E56" s="1">
        <f t="shared" si="4"/>
        <v>1842199.1178526846</v>
      </c>
    </row>
    <row r="57" spans="1:5">
      <c r="A57">
        <f t="shared" si="0"/>
        <v>44</v>
      </c>
      <c r="B57" s="1">
        <f t="shared" si="1"/>
        <v>11691.800830159582</v>
      </c>
      <c r="C57" s="1">
        <f t="shared" si="2"/>
        <v>4015.9711724400631</v>
      </c>
      <c r="D57" s="1">
        <f t="shared" si="3"/>
        <v>7675.8296577195188</v>
      </c>
      <c r="E57" s="1">
        <f t="shared" si="4"/>
        <v>1838183.1466802445</v>
      </c>
    </row>
    <row r="58" spans="1:5">
      <c r="A58">
        <f t="shared" si="0"/>
        <v>45</v>
      </c>
      <c r="B58" s="1">
        <f t="shared" si="1"/>
        <v>11691.800830159582</v>
      </c>
      <c r="C58" s="1">
        <f t="shared" si="2"/>
        <v>4032.7043856585633</v>
      </c>
      <c r="D58" s="1">
        <f t="shared" si="3"/>
        <v>7659.0964445010186</v>
      </c>
      <c r="E58" s="1">
        <f t="shared" si="4"/>
        <v>1834150.442294586</v>
      </c>
    </row>
    <row r="59" spans="1:5">
      <c r="A59">
        <f t="shared" si="0"/>
        <v>46</v>
      </c>
      <c r="B59" s="1">
        <f t="shared" si="1"/>
        <v>11691.800830159582</v>
      </c>
      <c r="C59" s="1">
        <f t="shared" si="2"/>
        <v>4049.5073205988074</v>
      </c>
      <c r="D59" s="1">
        <f t="shared" si="3"/>
        <v>7642.2935095607745</v>
      </c>
      <c r="E59" s="1">
        <f t="shared" si="4"/>
        <v>1830100.9349739873</v>
      </c>
    </row>
    <row r="60" spans="1:5">
      <c r="A60">
        <f t="shared" si="0"/>
        <v>47</v>
      </c>
      <c r="B60" s="1">
        <f t="shared" si="1"/>
        <v>11691.800830159582</v>
      </c>
      <c r="C60" s="1">
        <f t="shared" si="2"/>
        <v>4066.3802677679687</v>
      </c>
      <c r="D60" s="1">
        <f t="shared" si="3"/>
        <v>7625.4205623916132</v>
      </c>
      <c r="E60" s="1">
        <f t="shared" si="4"/>
        <v>1826034.5547062194</v>
      </c>
    </row>
    <row r="61" spans="1:5">
      <c r="A61">
        <f t="shared" si="0"/>
        <v>48</v>
      </c>
      <c r="B61" s="1">
        <f t="shared" si="1"/>
        <v>11691.800830159582</v>
      </c>
      <c r="C61" s="1">
        <f t="shared" si="2"/>
        <v>4083.3235188836679</v>
      </c>
      <c r="D61" s="1">
        <f t="shared" si="3"/>
        <v>7608.477311275914</v>
      </c>
      <c r="E61" s="1">
        <f t="shared" si="4"/>
        <v>1821951.2311873357</v>
      </c>
    </row>
    <row r="62" spans="1:5">
      <c r="A62">
        <f t="shared" si="0"/>
        <v>49</v>
      </c>
      <c r="B62" s="1">
        <f t="shared" si="1"/>
        <v>11691.800830159582</v>
      </c>
      <c r="C62" s="1">
        <f t="shared" si="2"/>
        <v>4100.3373668790164</v>
      </c>
      <c r="D62" s="1">
        <f t="shared" si="3"/>
        <v>7591.4634632805655</v>
      </c>
      <c r="E62" s="1">
        <f t="shared" si="4"/>
        <v>1817850.8938204567</v>
      </c>
    </row>
    <row r="63" spans="1:5">
      <c r="A63">
        <f t="shared" si="0"/>
        <v>50</v>
      </c>
      <c r="B63" s="1">
        <f t="shared" si="1"/>
        <v>11691.800830159582</v>
      </c>
      <c r="C63" s="1">
        <f t="shared" si="2"/>
        <v>4117.422105907679</v>
      </c>
      <c r="D63" s="1">
        <f t="shared" si="3"/>
        <v>7574.3787242519029</v>
      </c>
      <c r="E63" s="1">
        <f t="shared" si="4"/>
        <v>1813733.471714549</v>
      </c>
    </row>
    <row r="64" spans="1:5">
      <c r="A64">
        <f t="shared" si="0"/>
        <v>51</v>
      </c>
      <c r="B64" s="1">
        <f t="shared" si="1"/>
        <v>11691.800830159582</v>
      </c>
      <c r="C64" s="1">
        <f t="shared" si="2"/>
        <v>4134.5780313489613</v>
      </c>
      <c r="D64" s="1">
        <f t="shared" si="3"/>
        <v>7557.2227988106206</v>
      </c>
      <c r="E64" s="1">
        <f t="shared" si="4"/>
        <v>1809598.8936832</v>
      </c>
    </row>
    <row r="65" spans="1:5">
      <c r="A65">
        <f t="shared" si="0"/>
        <v>52</v>
      </c>
      <c r="B65" s="1">
        <f t="shared" si="1"/>
        <v>11691.800830159582</v>
      </c>
      <c r="C65" s="1">
        <f t="shared" si="2"/>
        <v>4151.8054398129152</v>
      </c>
      <c r="D65" s="1">
        <f t="shared" si="3"/>
        <v>7539.9953903466667</v>
      </c>
      <c r="E65" s="1">
        <f t="shared" si="4"/>
        <v>1805447.0882433872</v>
      </c>
    </row>
    <row r="66" spans="1:5">
      <c r="A66">
        <f t="shared" si="0"/>
        <v>53</v>
      </c>
      <c r="B66" s="1">
        <f t="shared" si="1"/>
        <v>11691.800830159582</v>
      </c>
      <c r="C66" s="1">
        <f t="shared" si="2"/>
        <v>4169.1046291454686</v>
      </c>
      <c r="D66" s="1">
        <f t="shared" si="3"/>
        <v>7522.6962010141133</v>
      </c>
      <c r="E66" s="1">
        <f t="shared" si="4"/>
        <v>1801277.9836142417</v>
      </c>
    </row>
    <row r="67" spans="1:5">
      <c r="A67">
        <f t="shared" si="0"/>
        <v>54</v>
      </c>
      <c r="B67" s="1">
        <f t="shared" si="1"/>
        <v>11691.800830159582</v>
      </c>
      <c r="C67" s="1">
        <f t="shared" si="2"/>
        <v>4186.4758984335749</v>
      </c>
      <c r="D67" s="1">
        <f t="shared" si="3"/>
        <v>7505.324931726007</v>
      </c>
      <c r="E67" s="1">
        <f t="shared" si="4"/>
        <v>1797091.5077158082</v>
      </c>
    </row>
    <row r="68" spans="1:5">
      <c r="A68">
        <f t="shared" si="0"/>
        <v>55</v>
      </c>
      <c r="B68" s="1">
        <f t="shared" si="1"/>
        <v>11691.800830159582</v>
      </c>
      <c r="C68" s="1">
        <f t="shared" si="2"/>
        <v>4203.9195480103808</v>
      </c>
      <c r="D68" s="1">
        <f t="shared" si="3"/>
        <v>7487.8812821492011</v>
      </c>
      <c r="E68" s="1">
        <f t="shared" si="4"/>
        <v>1792887.5881677978</v>
      </c>
    </row>
    <row r="69" spans="1:5">
      <c r="A69">
        <f t="shared" si="0"/>
        <v>56</v>
      </c>
      <c r="B69" s="1">
        <f t="shared" si="1"/>
        <v>11691.800830159582</v>
      </c>
      <c r="C69" s="1">
        <f t="shared" si="2"/>
        <v>4221.435879460425</v>
      </c>
      <c r="D69" s="1">
        <f t="shared" si="3"/>
        <v>7470.3649506991569</v>
      </c>
      <c r="E69" s="1">
        <f t="shared" si="4"/>
        <v>1788666.1522883372</v>
      </c>
    </row>
    <row r="70" spans="1:5">
      <c r="A70">
        <f t="shared" si="0"/>
        <v>57</v>
      </c>
      <c r="B70" s="1">
        <f t="shared" si="1"/>
        <v>11691.800830159582</v>
      </c>
      <c r="C70" s="1">
        <f t="shared" si="2"/>
        <v>4239.0251956248439</v>
      </c>
      <c r="D70" s="1">
        <f t="shared" si="3"/>
        <v>7452.7756345347379</v>
      </c>
      <c r="E70" s="1">
        <f t="shared" si="4"/>
        <v>1784427.1270927123</v>
      </c>
    </row>
    <row r="71" spans="1:5">
      <c r="A71">
        <f t="shared" si="0"/>
        <v>58</v>
      </c>
      <c r="B71" s="1">
        <f t="shared" si="1"/>
        <v>11691.800830159582</v>
      </c>
      <c r="C71" s="1">
        <f t="shared" si="2"/>
        <v>4256.6878006066136</v>
      </c>
      <c r="D71" s="1">
        <f t="shared" si="3"/>
        <v>7435.1130295529683</v>
      </c>
      <c r="E71" s="1">
        <f t="shared" si="4"/>
        <v>1780170.4392921056</v>
      </c>
    </row>
    <row r="72" spans="1:5">
      <c r="A72">
        <f t="shared" si="0"/>
        <v>59</v>
      </c>
      <c r="B72" s="1">
        <f t="shared" si="1"/>
        <v>11691.800830159582</v>
      </c>
      <c r="C72" s="1">
        <f t="shared" si="2"/>
        <v>4274.4239997758086</v>
      </c>
      <c r="D72" s="1">
        <f t="shared" si="3"/>
        <v>7417.3768303837733</v>
      </c>
      <c r="E72" s="1">
        <f t="shared" si="4"/>
        <v>1775896.0152923297</v>
      </c>
    </row>
    <row r="73" spans="1:5">
      <c r="A73">
        <f t="shared" si="0"/>
        <v>60</v>
      </c>
      <c r="B73" s="1">
        <f t="shared" si="1"/>
        <v>11691.800830159582</v>
      </c>
      <c r="C73" s="1">
        <f t="shared" si="2"/>
        <v>4292.2340997748752</v>
      </c>
      <c r="D73" s="1">
        <f t="shared" si="3"/>
        <v>7399.5667303847067</v>
      </c>
      <c r="E73" s="1">
        <f t="shared" si="4"/>
        <v>1771603.7811925549</v>
      </c>
    </row>
    <row r="74" spans="1:5">
      <c r="A74">
        <f t="shared" si="0"/>
        <v>61</v>
      </c>
      <c r="B74" s="1">
        <f t="shared" si="1"/>
        <v>11691.800830159582</v>
      </c>
      <c r="C74" s="1">
        <f t="shared" si="2"/>
        <v>4310.1184085239365</v>
      </c>
      <c r="D74" s="1">
        <f t="shared" si="3"/>
        <v>7381.6824216356454</v>
      </c>
      <c r="E74" s="1">
        <f t="shared" si="4"/>
        <v>1767293.6627840309</v>
      </c>
    </row>
    <row r="75" spans="1:5">
      <c r="A75">
        <f t="shared" si="0"/>
        <v>62</v>
      </c>
      <c r="B75" s="1">
        <f t="shared" si="1"/>
        <v>11691.800830159582</v>
      </c>
      <c r="C75" s="1">
        <f t="shared" si="2"/>
        <v>4328.0772352261201</v>
      </c>
      <c r="D75" s="1">
        <f t="shared" si="3"/>
        <v>7363.7235949334618</v>
      </c>
      <c r="E75" s="1">
        <f t="shared" si="4"/>
        <v>1762965.5855488048</v>
      </c>
    </row>
    <row r="76" spans="1:5">
      <c r="A76">
        <f t="shared" si="0"/>
        <v>63</v>
      </c>
      <c r="B76" s="1">
        <f t="shared" si="1"/>
        <v>11691.800830159582</v>
      </c>
      <c r="C76" s="1">
        <f t="shared" si="2"/>
        <v>4346.1108903728955</v>
      </c>
      <c r="D76" s="1">
        <f t="shared" si="3"/>
        <v>7345.6899397866864</v>
      </c>
      <c r="E76" s="1">
        <f t="shared" si="4"/>
        <v>1758619.474658432</v>
      </c>
    </row>
    <row r="77" spans="1:5">
      <c r="A77">
        <f t="shared" si="0"/>
        <v>64</v>
      </c>
      <c r="B77" s="1">
        <f t="shared" si="1"/>
        <v>11691.800830159582</v>
      </c>
      <c r="C77" s="1">
        <f t="shared" si="2"/>
        <v>4364.2196857494491</v>
      </c>
      <c r="D77" s="1">
        <f t="shared" si="3"/>
        <v>7327.5811444101328</v>
      </c>
      <c r="E77" s="1">
        <f t="shared" si="4"/>
        <v>1754255.2549726826</v>
      </c>
    </row>
    <row r="78" spans="1:5">
      <c r="A78">
        <f t="shared" si="0"/>
        <v>65</v>
      </c>
      <c r="B78" s="1">
        <f t="shared" si="1"/>
        <v>11691.800830159582</v>
      </c>
      <c r="C78" s="1">
        <f t="shared" si="2"/>
        <v>4382.4039344400717</v>
      </c>
      <c r="D78" s="1">
        <f t="shared" si="3"/>
        <v>7309.3968957195102</v>
      </c>
      <c r="E78" s="1">
        <f t="shared" si="4"/>
        <v>1749872.8510382425</v>
      </c>
    </row>
    <row r="79" spans="1:5">
      <c r="A79">
        <f t="shared" si="0"/>
        <v>66</v>
      </c>
      <c r="B79" s="1">
        <f t="shared" si="1"/>
        <v>11691.800830159582</v>
      </c>
      <c r="C79" s="1">
        <f t="shared" si="2"/>
        <v>4400.663950833572</v>
      </c>
      <c r="D79" s="1">
        <f t="shared" si="3"/>
        <v>7291.1368793260099</v>
      </c>
      <c r="E79" s="1">
        <f t="shared" si="4"/>
        <v>1745472.187087409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11691.800830159582</v>
      </c>
      <c r="C80" s="1">
        <f t="shared" ref="C80:C143" si="7">IF(A80="","",B80-D80)</f>
        <v>4419.0000506287115</v>
      </c>
      <c r="D80" s="1">
        <f t="shared" ref="D80:D143" si="8">IF(A80="","",(E79*($B$6/$B$8)))</f>
        <v>7272.8007795308704</v>
      </c>
      <c r="E80" s="1">
        <f t="shared" ref="E80:E143" si="9">IF(A80="","",E79-C80)</f>
        <v>1741053.1870367802</v>
      </c>
    </row>
    <row r="81" spans="1:5">
      <c r="A81">
        <f t="shared" si="5"/>
        <v>68</v>
      </c>
      <c r="B81" s="1">
        <f t="shared" si="6"/>
        <v>11691.800830159582</v>
      </c>
      <c r="C81" s="1">
        <f t="shared" si="7"/>
        <v>4437.4125508396646</v>
      </c>
      <c r="D81" s="1">
        <f t="shared" si="8"/>
        <v>7254.3882793199173</v>
      </c>
      <c r="E81" s="1">
        <f t="shared" si="9"/>
        <v>1736615.7744859406</v>
      </c>
    </row>
    <row r="82" spans="1:5">
      <c r="A82">
        <f t="shared" si="5"/>
        <v>69</v>
      </c>
      <c r="B82" s="1">
        <f t="shared" si="6"/>
        <v>11691.800830159582</v>
      </c>
      <c r="C82" s="1">
        <f t="shared" si="7"/>
        <v>4455.9017698014959</v>
      </c>
      <c r="D82" s="1">
        <f t="shared" si="8"/>
        <v>7235.899060358086</v>
      </c>
      <c r="E82" s="1">
        <f t="shared" si="9"/>
        <v>1732159.8727161391</v>
      </c>
    </row>
    <row r="83" spans="1:5">
      <c r="A83">
        <f t="shared" si="5"/>
        <v>70</v>
      </c>
      <c r="B83" s="1">
        <f t="shared" si="6"/>
        <v>11691.800830159582</v>
      </c>
      <c r="C83" s="1">
        <f t="shared" si="7"/>
        <v>4474.4680271756688</v>
      </c>
      <c r="D83" s="1">
        <f t="shared" si="8"/>
        <v>7217.3328029839131</v>
      </c>
      <c r="E83" s="1">
        <f t="shared" si="9"/>
        <v>1727685.4046889634</v>
      </c>
    </row>
    <row r="84" spans="1:5">
      <c r="A84">
        <f t="shared" si="5"/>
        <v>71</v>
      </c>
      <c r="B84" s="1">
        <f t="shared" si="6"/>
        <v>11691.800830159582</v>
      </c>
      <c r="C84" s="1">
        <f t="shared" si="7"/>
        <v>4493.1116439555681</v>
      </c>
      <c r="D84" s="1">
        <f t="shared" si="8"/>
        <v>7198.6891862040138</v>
      </c>
      <c r="E84" s="1">
        <f t="shared" si="9"/>
        <v>1723192.2930450079</v>
      </c>
    </row>
    <row r="85" spans="1:5">
      <c r="A85">
        <f t="shared" si="5"/>
        <v>72</v>
      </c>
      <c r="B85" s="1">
        <f t="shared" si="6"/>
        <v>11691.800830159582</v>
      </c>
      <c r="C85" s="1">
        <f t="shared" si="7"/>
        <v>4511.8329424720496</v>
      </c>
      <c r="D85" s="1">
        <f t="shared" si="8"/>
        <v>7179.9678876875323</v>
      </c>
      <c r="E85" s="1">
        <f t="shared" si="9"/>
        <v>1718680.4601025358</v>
      </c>
    </row>
    <row r="86" spans="1:5">
      <c r="A86">
        <f t="shared" si="5"/>
        <v>73</v>
      </c>
      <c r="B86" s="1">
        <f t="shared" si="6"/>
        <v>11691.800830159582</v>
      </c>
      <c r="C86" s="1">
        <f t="shared" si="7"/>
        <v>4530.6322463990164</v>
      </c>
      <c r="D86" s="1">
        <f t="shared" si="8"/>
        <v>7161.1685837605655</v>
      </c>
      <c r="E86" s="1">
        <f t="shared" si="9"/>
        <v>1714149.8278561367</v>
      </c>
    </row>
    <row r="87" spans="1:5">
      <c r="A87">
        <f t="shared" si="5"/>
        <v>74</v>
      </c>
      <c r="B87" s="1">
        <f t="shared" si="6"/>
        <v>11691.800830159582</v>
      </c>
      <c r="C87" s="1">
        <f t="shared" si="7"/>
        <v>4549.509880759012</v>
      </c>
      <c r="D87" s="1">
        <f t="shared" si="8"/>
        <v>7142.2909494005698</v>
      </c>
      <c r="E87" s="1">
        <f t="shared" si="9"/>
        <v>1709600.3179753777</v>
      </c>
    </row>
    <row r="88" spans="1:5">
      <c r="A88">
        <f t="shared" si="5"/>
        <v>75</v>
      </c>
      <c r="B88" s="1">
        <f t="shared" si="6"/>
        <v>11691.800830159582</v>
      </c>
      <c r="C88" s="1">
        <f t="shared" si="7"/>
        <v>4568.4661719288415</v>
      </c>
      <c r="D88" s="1">
        <f t="shared" si="8"/>
        <v>7123.3346582307404</v>
      </c>
      <c r="E88" s="1">
        <f t="shared" si="9"/>
        <v>1705031.8518034487</v>
      </c>
    </row>
    <row r="89" spans="1:5">
      <c r="A89">
        <f t="shared" si="5"/>
        <v>76</v>
      </c>
      <c r="B89" s="1">
        <f t="shared" si="6"/>
        <v>11691.800830159582</v>
      </c>
      <c r="C89" s="1">
        <f t="shared" si="7"/>
        <v>4587.5014476452125</v>
      </c>
      <c r="D89" s="1">
        <f t="shared" si="8"/>
        <v>7104.2993825143694</v>
      </c>
      <c r="E89" s="1">
        <f t="shared" si="9"/>
        <v>1700444.3503558035</v>
      </c>
    </row>
    <row r="90" spans="1:5">
      <c r="A90">
        <f t="shared" si="5"/>
        <v>77</v>
      </c>
      <c r="B90" s="1">
        <f t="shared" si="6"/>
        <v>11691.800830159582</v>
      </c>
      <c r="C90" s="1">
        <f t="shared" si="7"/>
        <v>4606.6160370104008</v>
      </c>
      <c r="D90" s="1">
        <f t="shared" si="8"/>
        <v>7085.1847931491811</v>
      </c>
      <c r="E90" s="1">
        <f t="shared" si="9"/>
        <v>1695837.7343187931</v>
      </c>
    </row>
    <row r="91" spans="1:5">
      <c r="A91">
        <f t="shared" si="5"/>
        <v>78</v>
      </c>
      <c r="B91" s="1">
        <f t="shared" si="6"/>
        <v>11691.800830159582</v>
      </c>
      <c r="C91" s="1">
        <f t="shared" si="7"/>
        <v>4625.8102704979447</v>
      </c>
      <c r="D91" s="1">
        <f t="shared" si="8"/>
        <v>7065.9905596616372</v>
      </c>
      <c r="E91" s="1">
        <f t="shared" si="9"/>
        <v>1691211.924048295</v>
      </c>
    </row>
    <row r="92" spans="1:5">
      <c r="A92">
        <f t="shared" si="5"/>
        <v>79</v>
      </c>
      <c r="B92" s="1">
        <f t="shared" si="6"/>
        <v>11691.800830159582</v>
      </c>
      <c r="C92" s="1">
        <f t="shared" si="7"/>
        <v>4645.0844799583529</v>
      </c>
      <c r="D92" s="1">
        <f t="shared" si="8"/>
        <v>7046.716350201229</v>
      </c>
      <c r="E92" s="1">
        <f t="shared" si="9"/>
        <v>1686566.8395683367</v>
      </c>
    </row>
    <row r="93" spans="1:5">
      <c r="A93">
        <f t="shared" si="5"/>
        <v>80</v>
      </c>
      <c r="B93" s="1">
        <f t="shared" si="6"/>
        <v>11691.800830159582</v>
      </c>
      <c r="C93" s="1">
        <f t="shared" si="7"/>
        <v>4664.4389986248452</v>
      </c>
      <c r="D93" s="1">
        <f t="shared" si="8"/>
        <v>7027.3618315347367</v>
      </c>
      <c r="E93" s="1">
        <f t="shared" si="9"/>
        <v>1681902.4005697118</v>
      </c>
    </row>
    <row r="94" spans="1:5">
      <c r="A94">
        <f t="shared" si="5"/>
        <v>81</v>
      </c>
      <c r="B94" s="1">
        <f t="shared" si="6"/>
        <v>11691.800830159582</v>
      </c>
      <c r="C94" s="1">
        <f t="shared" si="7"/>
        <v>4683.8741611191163</v>
      </c>
      <c r="D94" s="1">
        <f t="shared" si="8"/>
        <v>7007.9266690404656</v>
      </c>
      <c r="E94" s="1">
        <f t="shared" si="9"/>
        <v>1677218.5264085927</v>
      </c>
    </row>
    <row r="95" spans="1:5">
      <c r="A95">
        <f t="shared" si="5"/>
        <v>82</v>
      </c>
      <c r="B95" s="1">
        <f t="shared" si="6"/>
        <v>11691.800830159582</v>
      </c>
      <c r="C95" s="1">
        <f t="shared" si="7"/>
        <v>4703.3903034571122</v>
      </c>
      <c r="D95" s="1">
        <f t="shared" si="8"/>
        <v>6988.4105267024697</v>
      </c>
      <c r="E95" s="1">
        <f t="shared" si="9"/>
        <v>1672515.1361051355</v>
      </c>
    </row>
    <row r="96" spans="1:5">
      <c r="A96">
        <f t="shared" si="5"/>
        <v>83</v>
      </c>
      <c r="B96" s="1">
        <f t="shared" si="6"/>
        <v>11691.800830159582</v>
      </c>
      <c r="C96" s="1">
        <f t="shared" si="7"/>
        <v>4722.9877630548508</v>
      </c>
      <c r="D96" s="1">
        <f t="shared" si="8"/>
        <v>6968.8130671047311</v>
      </c>
      <c r="E96" s="1">
        <f t="shared" si="9"/>
        <v>1667792.1483420806</v>
      </c>
    </row>
    <row r="97" spans="1:5">
      <c r="A97">
        <f t="shared" si="5"/>
        <v>84</v>
      </c>
      <c r="B97" s="1">
        <f t="shared" si="6"/>
        <v>11691.800830159582</v>
      </c>
      <c r="C97" s="1">
        <f t="shared" si="7"/>
        <v>4742.666878734246</v>
      </c>
      <c r="D97" s="1">
        <f t="shared" si="8"/>
        <v>6949.1339514253359</v>
      </c>
      <c r="E97" s="1">
        <f t="shared" si="9"/>
        <v>1663049.4814633464</v>
      </c>
    </row>
    <row r="98" spans="1:5">
      <c r="A98">
        <f t="shared" si="5"/>
        <v>85</v>
      </c>
      <c r="B98" s="1">
        <f t="shared" si="6"/>
        <v>11691.800830159582</v>
      </c>
      <c r="C98" s="1">
        <f t="shared" si="7"/>
        <v>4762.427990728972</v>
      </c>
      <c r="D98" s="1">
        <f t="shared" si="8"/>
        <v>6929.3728394306099</v>
      </c>
      <c r="E98" s="1">
        <f t="shared" si="9"/>
        <v>1658287.0534726174</v>
      </c>
    </row>
    <row r="99" spans="1:5">
      <c r="A99">
        <f t="shared" si="5"/>
        <v>86</v>
      </c>
      <c r="B99" s="1">
        <f t="shared" si="6"/>
        <v>11691.800830159582</v>
      </c>
      <c r="C99" s="1">
        <f t="shared" si="7"/>
        <v>4782.2714406903424</v>
      </c>
      <c r="D99" s="1">
        <f t="shared" si="8"/>
        <v>6909.5293894692395</v>
      </c>
      <c r="E99" s="1">
        <f t="shared" si="9"/>
        <v>1653504.782031927</v>
      </c>
    </row>
    <row r="100" spans="1:5">
      <c r="A100">
        <f t="shared" si="5"/>
        <v>87</v>
      </c>
      <c r="B100" s="1">
        <f t="shared" si="6"/>
        <v>11691.800830159582</v>
      </c>
      <c r="C100" s="1">
        <f t="shared" si="7"/>
        <v>4802.1975716932193</v>
      </c>
      <c r="D100" s="1">
        <f t="shared" si="8"/>
        <v>6889.6032584663626</v>
      </c>
      <c r="E100" s="1">
        <f t="shared" si="9"/>
        <v>1648702.5844602338</v>
      </c>
    </row>
    <row r="101" spans="1:5">
      <c r="A101">
        <f t="shared" si="5"/>
        <v>88</v>
      </c>
      <c r="B101" s="1">
        <f t="shared" si="6"/>
        <v>11691.800830159582</v>
      </c>
      <c r="C101" s="1">
        <f t="shared" si="7"/>
        <v>4822.2067282419412</v>
      </c>
      <c r="D101" s="1">
        <f t="shared" si="8"/>
        <v>6869.5941019176407</v>
      </c>
      <c r="E101" s="1">
        <f t="shared" si="9"/>
        <v>1643880.3777319919</v>
      </c>
    </row>
    <row r="102" spans="1:5">
      <c r="A102">
        <f t="shared" si="5"/>
        <v>89</v>
      </c>
      <c r="B102" s="1">
        <f t="shared" si="6"/>
        <v>11691.800830159582</v>
      </c>
      <c r="C102" s="1">
        <f t="shared" si="7"/>
        <v>4842.299256276282</v>
      </c>
      <c r="D102" s="1">
        <f t="shared" si="8"/>
        <v>6849.5015738832999</v>
      </c>
      <c r="E102" s="1">
        <f t="shared" si="9"/>
        <v>1639038.0784757156</v>
      </c>
    </row>
    <row r="103" spans="1:5">
      <c r="A103">
        <f t="shared" si="5"/>
        <v>90</v>
      </c>
      <c r="B103" s="1">
        <f t="shared" si="6"/>
        <v>11691.800830159582</v>
      </c>
      <c r="C103" s="1">
        <f t="shared" si="7"/>
        <v>4862.4755031774339</v>
      </c>
      <c r="D103" s="1">
        <f t="shared" si="8"/>
        <v>6829.325326982148</v>
      </c>
      <c r="E103" s="1">
        <f t="shared" si="9"/>
        <v>1634175.6029725382</v>
      </c>
    </row>
    <row r="104" spans="1:5">
      <c r="A104">
        <f t="shared" si="5"/>
        <v>91</v>
      </c>
      <c r="B104" s="1">
        <f t="shared" si="6"/>
        <v>11691.800830159582</v>
      </c>
      <c r="C104" s="1">
        <f t="shared" si="7"/>
        <v>4882.7358177740061</v>
      </c>
      <c r="D104" s="1">
        <f t="shared" si="8"/>
        <v>6809.0650123855758</v>
      </c>
      <c r="E104" s="1">
        <f t="shared" si="9"/>
        <v>1629292.8671547642</v>
      </c>
    </row>
    <row r="105" spans="1:5">
      <c r="A105">
        <f t="shared" si="5"/>
        <v>92</v>
      </c>
      <c r="B105" s="1">
        <f t="shared" si="6"/>
        <v>11691.800830159582</v>
      </c>
      <c r="C105" s="1">
        <f t="shared" si="7"/>
        <v>4903.0805503480642</v>
      </c>
      <c r="D105" s="1">
        <f t="shared" si="8"/>
        <v>6788.7202798115177</v>
      </c>
      <c r="E105" s="1">
        <f t="shared" si="9"/>
        <v>1624389.7866044161</v>
      </c>
    </row>
    <row r="106" spans="1:5">
      <c r="A106">
        <f t="shared" si="5"/>
        <v>93</v>
      </c>
      <c r="B106" s="1">
        <f t="shared" si="6"/>
        <v>11691.800830159582</v>
      </c>
      <c r="C106" s="1">
        <f t="shared" si="7"/>
        <v>4923.5100526411816</v>
      </c>
      <c r="D106" s="1">
        <f t="shared" si="8"/>
        <v>6768.2907775184003</v>
      </c>
      <c r="E106" s="1">
        <f t="shared" si="9"/>
        <v>1619466.2765517749</v>
      </c>
    </row>
    <row r="107" spans="1:5">
      <c r="A107">
        <f t="shared" si="5"/>
        <v>94</v>
      </c>
      <c r="B107" s="1">
        <f t="shared" si="6"/>
        <v>11691.800830159582</v>
      </c>
      <c r="C107" s="1">
        <f t="shared" si="7"/>
        <v>4944.0246778605197</v>
      </c>
      <c r="D107" s="1">
        <f t="shared" si="8"/>
        <v>6747.7761522990622</v>
      </c>
      <c r="E107" s="1">
        <f t="shared" si="9"/>
        <v>1614522.2518739144</v>
      </c>
    </row>
    <row r="108" spans="1:5">
      <c r="A108">
        <f t="shared" si="5"/>
        <v>95</v>
      </c>
      <c r="B108" s="1">
        <f t="shared" si="6"/>
        <v>11691.800830159582</v>
      </c>
      <c r="C108" s="1">
        <f t="shared" si="7"/>
        <v>4964.6247806849387</v>
      </c>
      <c r="D108" s="1">
        <f t="shared" si="8"/>
        <v>6727.1760494746432</v>
      </c>
      <c r="E108" s="1">
        <f t="shared" si="9"/>
        <v>1609557.6270932294</v>
      </c>
    </row>
    <row r="109" spans="1:5">
      <c r="A109">
        <f t="shared" si="5"/>
        <v>96</v>
      </c>
      <c r="B109" s="1">
        <f t="shared" si="6"/>
        <v>11691.800830159582</v>
      </c>
      <c r="C109" s="1">
        <f t="shared" si="7"/>
        <v>4985.3107172711261</v>
      </c>
      <c r="D109" s="1">
        <f t="shared" si="8"/>
        <v>6706.4901128884558</v>
      </c>
      <c r="E109" s="1">
        <f t="shared" si="9"/>
        <v>1604572.3163759583</v>
      </c>
    </row>
    <row r="110" spans="1:5">
      <c r="A110">
        <f t="shared" si="5"/>
        <v>97</v>
      </c>
      <c r="B110" s="1">
        <f t="shared" si="6"/>
        <v>11691.800830159582</v>
      </c>
      <c r="C110" s="1">
        <f t="shared" si="7"/>
        <v>5006.0828452597561</v>
      </c>
      <c r="D110" s="1">
        <f t="shared" si="8"/>
        <v>6685.7179848998258</v>
      </c>
      <c r="E110" s="1">
        <f t="shared" si="9"/>
        <v>1599566.2335306986</v>
      </c>
    </row>
    <row r="111" spans="1:5">
      <c r="A111">
        <f t="shared" si="5"/>
        <v>98</v>
      </c>
      <c r="B111" s="1">
        <f t="shared" si="6"/>
        <v>11691.800830159582</v>
      </c>
      <c r="C111" s="1">
        <f t="shared" si="7"/>
        <v>5026.9415237816711</v>
      </c>
      <c r="D111" s="1">
        <f t="shared" si="8"/>
        <v>6664.8593063779108</v>
      </c>
      <c r="E111" s="1">
        <f t="shared" si="9"/>
        <v>1594539.2920069168</v>
      </c>
    </row>
    <row r="112" spans="1:5">
      <c r="A112">
        <f t="shared" si="5"/>
        <v>99</v>
      </c>
      <c r="B112" s="1">
        <f t="shared" si="6"/>
        <v>11691.800830159582</v>
      </c>
      <c r="C112" s="1">
        <f t="shared" si="7"/>
        <v>5047.8871134640949</v>
      </c>
      <c r="D112" s="1">
        <f t="shared" si="8"/>
        <v>6643.913716695487</v>
      </c>
      <c r="E112" s="1">
        <f t="shared" si="9"/>
        <v>1589491.4048934528</v>
      </c>
    </row>
    <row r="113" spans="1:5">
      <c r="A113">
        <f t="shared" si="5"/>
        <v>100</v>
      </c>
      <c r="B113" s="1">
        <f t="shared" si="6"/>
        <v>11691.800830159582</v>
      </c>
      <c r="C113" s="1">
        <f t="shared" si="7"/>
        <v>5068.9199764368623</v>
      </c>
      <c r="D113" s="1">
        <f t="shared" si="8"/>
        <v>6622.8808537227196</v>
      </c>
      <c r="E113" s="1">
        <f t="shared" si="9"/>
        <v>1584422.484917016</v>
      </c>
    </row>
    <row r="114" spans="1:5">
      <c r="A114">
        <f t="shared" si="5"/>
        <v>101</v>
      </c>
      <c r="B114" s="1">
        <f t="shared" si="6"/>
        <v>11691.800830159582</v>
      </c>
      <c r="C114" s="1">
        <f t="shared" si="7"/>
        <v>5090.0404763386823</v>
      </c>
      <c r="D114" s="1">
        <f t="shared" si="8"/>
        <v>6601.7603538208996</v>
      </c>
      <c r="E114" s="1">
        <f t="shared" si="9"/>
        <v>1579332.4444406773</v>
      </c>
    </row>
    <row r="115" spans="1:5">
      <c r="A115">
        <f t="shared" si="5"/>
        <v>102</v>
      </c>
      <c r="B115" s="1">
        <f t="shared" si="6"/>
        <v>11691.800830159582</v>
      </c>
      <c r="C115" s="1">
        <f t="shared" si="7"/>
        <v>5111.2489783234269</v>
      </c>
      <c r="D115" s="1">
        <f t="shared" si="8"/>
        <v>6580.551851836155</v>
      </c>
      <c r="E115" s="1">
        <f t="shared" si="9"/>
        <v>1574221.1954623538</v>
      </c>
    </row>
    <row r="116" spans="1:5">
      <c r="A116">
        <f t="shared" si="5"/>
        <v>103</v>
      </c>
      <c r="B116" s="1">
        <f t="shared" si="6"/>
        <v>11691.800830159582</v>
      </c>
      <c r="C116" s="1">
        <f t="shared" si="7"/>
        <v>5132.5458490664414</v>
      </c>
      <c r="D116" s="1">
        <f t="shared" si="8"/>
        <v>6559.2549810931405</v>
      </c>
      <c r="E116" s="1">
        <f t="shared" si="9"/>
        <v>1569088.6496132873</v>
      </c>
    </row>
    <row r="117" spans="1:5">
      <c r="A117">
        <f t="shared" si="5"/>
        <v>104</v>
      </c>
      <c r="B117" s="1">
        <f t="shared" si="6"/>
        <v>11691.800830159582</v>
      </c>
      <c r="C117" s="1">
        <f t="shared" si="7"/>
        <v>5153.9314567708852</v>
      </c>
      <c r="D117" s="1">
        <f t="shared" si="8"/>
        <v>6537.8693733886967</v>
      </c>
      <c r="E117" s="1">
        <f t="shared" si="9"/>
        <v>1563934.7181565163</v>
      </c>
    </row>
    <row r="118" spans="1:5">
      <c r="A118">
        <f t="shared" si="5"/>
        <v>105</v>
      </c>
      <c r="B118" s="1">
        <f t="shared" si="6"/>
        <v>11691.800830159582</v>
      </c>
      <c r="C118" s="1">
        <f t="shared" si="7"/>
        <v>5175.4061711740969</v>
      </c>
      <c r="D118" s="1">
        <f t="shared" si="8"/>
        <v>6516.394658985485</v>
      </c>
      <c r="E118" s="1">
        <f t="shared" si="9"/>
        <v>1558759.3119853423</v>
      </c>
    </row>
    <row r="119" spans="1:5">
      <c r="A119">
        <f t="shared" si="5"/>
        <v>106</v>
      </c>
      <c r="B119" s="1">
        <f t="shared" si="6"/>
        <v>11691.800830159582</v>
      </c>
      <c r="C119" s="1">
        <f t="shared" si="7"/>
        <v>5196.970363553989</v>
      </c>
      <c r="D119" s="1">
        <f t="shared" si="8"/>
        <v>6494.8304666055928</v>
      </c>
      <c r="E119" s="1">
        <f t="shared" si="9"/>
        <v>1553562.3416217882</v>
      </c>
    </row>
    <row r="120" spans="1:5">
      <c r="A120">
        <f t="shared" si="5"/>
        <v>107</v>
      </c>
      <c r="B120" s="1">
        <f t="shared" si="6"/>
        <v>11691.800830159582</v>
      </c>
      <c r="C120" s="1">
        <f t="shared" si="7"/>
        <v>5218.6244067354646</v>
      </c>
      <c r="D120" s="1">
        <f t="shared" si="8"/>
        <v>6473.1764234241173</v>
      </c>
      <c r="E120" s="1">
        <f t="shared" si="9"/>
        <v>1548343.7172150528</v>
      </c>
    </row>
    <row r="121" spans="1:5">
      <c r="A121">
        <f t="shared" si="5"/>
        <v>108</v>
      </c>
      <c r="B121" s="1">
        <f t="shared" si="6"/>
        <v>11691.800830159582</v>
      </c>
      <c r="C121" s="1">
        <f t="shared" si="7"/>
        <v>5240.3686750968618</v>
      </c>
      <c r="D121" s="1">
        <f t="shared" si="8"/>
        <v>6451.4321550627201</v>
      </c>
      <c r="E121" s="1">
        <f t="shared" si="9"/>
        <v>1543103.3485399559</v>
      </c>
    </row>
    <row r="122" spans="1:5">
      <c r="A122">
        <f t="shared" si="5"/>
        <v>109</v>
      </c>
      <c r="B122" s="1">
        <f t="shared" si="6"/>
        <v>11691.800830159582</v>
      </c>
      <c r="C122" s="1">
        <f t="shared" si="7"/>
        <v>5262.2035445764323</v>
      </c>
      <c r="D122" s="1">
        <f t="shared" si="8"/>
        <v>6429.5972855831496</v>
      </c>
      <c r="E122" s="1">
        <f t="shared" si="9"/>
        <v>1537841.1449953795</v>
      </c>
    </row>
    <row r="123" spans="1:5">
      <c r="A123">
        <f t="shared" si="5"/>
        <v>110</v>
      </c>
      <c r="B123" s="1">
        <f t="shared" si="6"/>
        <v>11691.800830159582</v>
      </c>
      <c r="C123" s="1">
        <f t="shared" si="7"/>
        <v>5284.1293926788339</v>
      </c>
      <c r="D123" s="1">
        <f t="shared" si="8"/>
        <v>6407.671437480748</v>
      </c>
      <c r="E123" s="1">
        <f t="shared" si="9"/>
        <v>1532557.0156027006</v>
      </c>
    </row>
    <row r="124" spans="1:5">
      <c r="A124">
        <f t="shared" si="5"/>
        <v>111</v>
      </c>
      <c r="B124" s="1">
        <f t="shared" si="6"/>
        <v>11691.800830159582</v>
      </c>
      <c r="C124" s="1">
        <f t="shared" si="7"/>
        <v>5306.1465984816623</v>
      </c>
      <c r="D124" s="1">
        <f t="shared" si="8"/>
        <v>6385.6542316779196</v>
      </c>
      <c r="E124" s="1">
        <f t="shared" si="9"/>
        <v>1527250.8690042191</v>
      </c>
    </row>
    <row r="125" spans="1:5">
      <c r="A125">
        <f t="shared" si="5"/>
        <v>112</v>
      </c>
      <c r="B125" s="1">
        <f t="shared" si="6"/>
        <v>11691.800830159582</v>
      </c>
      <c r="C125" s="1">
        <f t="shared" si="7"/>
        <v>5328.2555426420022</v>
      </c>
      <c r="D125" s="1">
        <f t="shared" si="8"/>
        <v>6363.5452875175797</v>
      </c>
      <c r="E125" s="1">
        <f t="shared" si="9"/>
        <v>1521922.6134615771</v>
      </c>
    </row>
    <row r="126" spans="1:5">
      <c r="A126">
        <f t="shared" si="5"/>
        <v>113</v>
      </c>
      <c r="B126" s="1">
        <f t="shared" si="6"/>
        <v>11691.800830159582</v>
      </c>
      <c r="C126" s="1">
        <f t="shared" si="7"/>
        <v>5350.4566074030108</v>
      </c>
      <c r="D126" s="1">
        <f t="shared" si="8"/>
        <v>6341.3442227565711</v>
      </c>
      <c r="E126" s="1">
        <f t="shared" si="9"/>
        <v>1516572.1568541741</v>
      </c>
    </row>
    <row r="127" spans="1:5">
      <c r="A127">
        <f t="shared" si="5"/>
        <v>114</v>
      </c>
      <c r="B127" s="1">
        <f t="shared" si="6"/>
        <v>11691.800830159582</v>
      </c>
      <c r="C127" s="1">
        <f t="shared" si="7"/>
        <v>5372.7501766005234</v>
      </c>
      <c r="D127" s="1">
        <f t="shared" si="8"/>
        <v>6319.0506535590584</v>
      </c>
      <c r="E127" s="1">
        <f t="shared" si="9"/>
        <v>1511199.4066775737</v>
      </c>
    </row>
    <row r="128" spans="1:5">
      <c r="A128">
        <f t="shared" si="5"/>
        <v>115</v>
      </c>
      <c r="B128" s="1">
        <f t="shared" si="6"/>
        <v>11691.800830159582</v>
      </c>
      <c r="C128" s="1">
        <f t="shared" si="7"/>
        <v>5395.1366356696917</v>
      </c>
      <c r="D128" s="1">
        <f t="shared" si="8"/>
        <v>6296.6641944898902</v>
      </c>
      <c r="E128" s="1">
        <f t="shared" si="9"/>
        <v>1505804.2700419039</v>
      </c>
    </row>
    <row r="129" spans="1:5">
      <c r="A129">
        <f t="shared" si="5"/>
        <v>116</v>
      </c>
      <c r="B129" s="1">
        <f t="shared" si="6"/>
        <v>11691.800830159582</v>
      </c>
      <c r="C129" s="1">
        <f t="shared" si="7"/>
        <v>5417.6163716516485</v>
      </c>
      <c r="D129" s="1">
        <f t="shared" si="8"/>
        <v>6274.1844585079334</v>
      </c>
      <c r="E129" s="1">
        <f t="shared" si="9"/>
        <v>1500386.6536702523</v>
      </c>
    </row>
    <row r="130" spans="1:5">
      <c r="A130">
        <f t="shared" si="5"/>
        <v>117</v>
      </c>
      <c r="B130" s="1">
        <f t="shared" si="6"/>
        <v>11691.800830159582</v>
      </c>
      <c r="C130" s="1">
        <f t="shared" si="7"/>
        <v>5440.1897732001971</v>
      </c>
      <c r="D130" s="1">
        <f t="shared" si="8"/>
        <v>6251.6110569593848</v>
      </c>
      <c r="E130" s="1">
        <f t="shared" si="9"/>
        <v>1494946.463897052</v>
      </c>
    </row>
    <row r="131" spans="1:5">
      <c r="A131">
        <f t="shared" si="5"/>
        <v>118</v>
      </c>
      <c r="B131" s="1">
        <f t="shared" si="6"/>
        <v>11691.800830159582</v>
      </c>
      <c r="C131" s="1">
        <f t="shared" si="7"/>
        <v>5462.8572305885318</v>
      </c>
      <c r="D131" s="1">
        <f t="shared" si="8"/>
        <v>6228.9435995710501</v>
      </c>
      <c r="E131" s="1">
        <f t="shared" si="9"/>
        <v>1489483.6066664634</v>
      </c>
    </row>
    <row r="132" spans="1:5">
      <c r="A132">
        <f t="shared" si="5"/>
        <v>119</v>
      </c>
      <c r="B132" s="1">
        <f t="shared" si="6"/>
        <v>11691.800830159582</v>
      </c>
      <c r="C132" s="1">
        <f t="shared" si="7"/>
        <v>5485.6191357159842</v>
      </c>
      <c r="D132" s="1">
        <f t="shared" si="8"/>
        <v>6206.1816944435977</v>
      </c>
      <c r="E132" s="1">
        <f t="shared" si="9"/>
        <v>1483997.9875307474</v>
      </c>
    </row>
    <row r="133" spans="1:5">
      <c r="A133">
        <f t="shared" si="5"/>
        <v>120</v>
      </c>
      <c r="B133" s="1">
        <f t="shared" si="6"/>
        <v>11691.800830159582</v>
      </c>
      <c r="C133" s="1">
        <f t="shared" si="7"/>
        <v>5508.4758821148007</v>
      </c>
      <c r="D133" s="1">
        <f t="shared" si="8"/>
        <v>6183.3249480447812</v>
      </c>
      <c r="E133" s="1">
        <f t="shared" si="9"/>
        <v>1478489.5116486326</v>
      </c>
    </row>
    <row r="134" spans="1:5">
      <c r="A134">
        <f t="shared" si="5"/>
        <v>121</v>
      </c>
      <c r="B134" s="1">
        <f t="shared" si="6"/>
        <v>11691.800830159582</v>
      </c>
      <c r="C134" s="1">
        <f t="shared" si="7"/>
        <v>5531.427864956946</v>
      </c>
      <c r="D134" s="1">
        <f t="shared" si="8"/>
        <v>6160.3729652026359</v>
      </c>
      <c r="E134" s="1">
        <f t="shared" si="9"/>
        <v>1472958.0837836757</v>
      </c>
    </row>
    <row r="135" spans="1:5">
      <c r="A135">
        <f t="shared" si="5"/>
        <v>122</v>
      </c>
      <c r="B135" s="1">
        <f t="shared" si="6"/>
        <v>11691.800830159582</v>
      </c>
      <c r="C135" s="1">
        <f t="shared" si="7"/>
        <v>5554.4754810609329</v>
      </c>
      <c r="D135" s="1">
        <f t="shared" si="8"/>
        <v>6137.325349098649</v>
      </c>
      <c r="E135" s="1">
        <f t="shared" si="9"/>
        <v>1467403.6083026147</v>
      </c>
    </row>
    <row r="136" spans="1:5">
      <c r="A136">
        <f t="shared" si="5"/>
        <v>123</v>
      </c>
      <c r="B136" s="1">
        <f t="shared" si="6"/>
        <v>11691.800830159582</v>
      </c>
      <c r="C136" s="1">
        <f t="shared" si="7"/>
        <v>5577.6191288986874</v>
      </c>
      <c r="D136" s="1">
        <f t="shared" si="8"/>
        <v>6114.1817012608944</v>
      </c>
      <c r="E136" s="1">
        <f t="shared" si="9"/>
        <v>1461825.9891737159</v>
      </c>
    </row>
    <row r="137" spans="1:5">
      <c r="A137">
        <f t="shared" si="5"/>
        <v>124</v>
      </c>
      <c r="B137" s="1">
        <f t="shared" si="6"/>
        <v>11691.800830159582</v>
      </c>
      <c r="C137" s="1">
        <f t="shared" si="7"/>
        <v>5600.8592086024319</v>
      </c>
      <c r="D137" s="1">
        <f t="shared" si="8"/>
        <v>6090.94162155715</v>
      </c>
      <c r="E137" s="1">
        <f t="shared" si="9"/>
        <v>1456225.1299651135</v>
      </c>
    </row>
    <row r="138" spans="1:5">
      <c r="A138">
        <f t="shared" si="5"/>
        <v>125</v>
      </c>
      <c r="B138" s="1">
        <f t="shared" si="6"/>
        <v>11691.800830159582</v>
      </c>
      <c r="C138" s="1">
        <f t="shared" si="7"/>
        <v>5624.1961219716095</v>
      </c>
      <c r="D138" s="1">
        <f t="shared" si="8"/>
        <v>6067.6047081879724</v>
      </c>
      <c r="E138" s="1">
        <f t="shared" si="9"/>
        <v>1450600.9338431419</v>
      </c>
    </row>
    <row r="139" spans="1:5">
      <c r="A139">
        <f t="shared" si="5"/>
        <v>126</v>
      </c>
      <c r="B139" s="1">
        <f t="shared" si="6"/>
        <v>11691.800830159582</v>
      </c>
      <c r="C139" s="1">
        <f t="shared" si="7"/>
        <v>5647.6302724798243</v>
      </c>
      <c r="D139" s="1">
        <f t="shared" si="8"/>
        <v>6044.1705576797576</v>
      </c>
      <c r="E139" s="1">
        <f t="shared" si="9"/>
        <v>1444953.3035706622</v>
      </c>
    </row>
    <row r="140" spans="1:5">
      <c r="A140">
        <f t="shared" si="5"/>
        <v>127</v>
      </c>
      <c r="B140" s="1">
        <f t="shared" si="6"/>
        <v>11691.800830159582</v>
      </c>
      <c r="C140" s="1">
        <f t="shared" si="7"/>
        <v>5671.1620652818228</v>
      </c>
      <c r="D140" s="1">
        <f t="shared" si="8"/>
        <v>6020.6387648777591</v>
      </c>
      <c r="E140" s="1">
        <f t="shared" si="9"/>
        <v>1439282.1415053804</v>
      </c>
    </row>
    <row r="141" spans="1:5">
      <c r="A141">
        <f t="shared" si="5"/>
        <v>128</v>
      </c>
      <c r="B141" s="1">
        <f t="shared" si="6"/>
        <v>11691.800830159582</v>
      </c>
      <c r="C141" s="1">
        <f t="shared" si="7"/>
        <v>5694.7919072204968</v>
      </c>
      <c r="D141" s="1">
        <f t="shared" si="8"/>
        <v>5997.0089229390851</v>
      </c>
      <c r="E141" s="1">
        <f t="shared" si="9"/>
        <v>1433587.34959816</v>
      </c>
    </row>
    <row r="142" spans="1:5">
      <c r="A142">
        <f t="shared" si="5"/>
        <v>129</v>
      </c>
      <c r="B142" s="1">
        <f t="shared" si="6"/>
        <v>11691.800830159582</v>
      </c>
      <c r="C142" s="1">
        <f t="shared" si="7"/>
        <v>5718.5202068339149</v>
      </c>
      <c r="D142" s="1">
        <f t="shared" si="8"/>
        <v>5973.280623325667</v>
      </c>
      <c r="E142" s="1">
        <f t="shared" si="9"/>
        <v>1427868.8293913261</v>
      </c>
    </row>
    <row r="143" spans="1:5">
      <c r="A143">
        <f t="shared" si="5"/>
        <v>130</v>
      </c>
      <c r="B143" s="1">
        <f t="shared" si="6"/>
        <v>11691.800830159582</v>
      </c>
      <c r="C143" s="1">
        <f t="shared" si="7"/>
        <v>5742.3473743623899</v>
      </c>
      <c r="D143" s="1">
        <f t="shared" si="8"/>
        <v>5949.453455797192</v>
      </c>
      <c r="E143" s="1">
        <f t="shared" si="9"/>
        <v>1422126.4820169637</v>
      </c>
    </row>
    <row r="144" spans="1:5">
      <c r="A144">
        <f t="shared" ref="A144:A178" si="10">IF(($B$7*$B$8&gt;A143),IF(($B$7*$B$8)=A143,"",A143+1),"")</f>
        <v>131</v>
      </c>
      <c r="B144" s="1">
        <f t="shared" ref="B144:B207" si="11">IF(A144="","",$B$14)</f>
        <v>11691.800830159582</v>
      </c>
      <c r="C144" s="1">
        <f t="shared" ref="C144:C178" si="12">IF(A144="","",B144-D144)</f>
        <v>5766.273821755567</v>
      </c>
      <c r="D144" s="1">
        <f t="shared" ref="D144:D178" si="13">IF(A144="","",(E143*($B$6/$B$8)))</f>
        <v>5925.5270084040149</v>
      </c>
      <c r="E144" s="1">
        <f t="shared" ref="E144:E178" si="14">IF(A144="","",E143-C144)</f>
        <v>1416360.2081952081</v>
      </c>
    </row>
    <row r="145" spans="1:5">
      <c r="A145">
        <f t="shared" si="10"/>
        <v>132</v>
      </c>
      <c r="B145" s="1">
        <f t="shared" si="11"/>
        <v>11691.800830159582</v>
      </c>
      <c r="C145" s="1">
        <f t="shared" si="12"/>
        <v>5790.2999626795481</v>
      </c>
      <c r="D145" s="1">
        <f t="shared" si="13"/>
        <v>5901.5008674800338</v>
      </c>
      <c r="E145" s="1">
        <f t="shared" si="14"/>
        <v>1410569.9082325285</v>
      </c>
    </row>
    <row r="146" spans="1:5">
      <c r="A146">
        <f t="shared" si="10"/>
        <v>133</v>
      </c>
      <c r="B146" s="1">
        <f t="shared" si="11"/>
        <v>11691.800830159582</v>
      </c>
      <c r="C146" s="1">
        <f t="shared" si="12"/>
        <v>5814.4262125240466</v>
      </c>
      <c r="D146" s="1">
        <f t="shared" si="13"/>
        <v>5877.3746176355353</v>
      </c>
      <c r="E146" s="1">
        <f t="shared" si="14"/>
        <v>1404755.4820200044</v>
      </c>
    </row>
    <row r="147" spans="1:5">
      <c r="A147">
        <f t="shared" si="10"/>
        <v>134</v>
      </c>
      <c r="B147" s="1">
        <f t="shared" si="11"/>
        <v>11691.800830159582</v>
      </c>
      <c r="C147" s="1">
        <f t="shared" si="12"/>
        <v>5838.6529884095635</v>
      </c>
      <c r="D147" s="1">
        <f t="shared" si="13"/>
        <v>5853.1478417500184</v>
      </c>
      <c r="E147" s="1">
        <f t="shared" si="14"/>
        <v>1398916.8290315948</v>
      </c>
    </row>
    <row r="148" spans="1:5">
      <c r="A148">
        <f t="shared" si="10"/>
        <v>135</v>
      </c>
      <c r="B148" s="1">
        <f t="shared" si="11"/>
        <v>11691.800830159582</v>
      </c>
      <c r="C148" s="1">
        <f t="shared" si="12"/>
        <v>5862.9807091946041</v>
      </c>
      <c r="D148" s="1">
        <f t="shared" si="13"/>
        <v>5828.8201209649778</v>
      </c>
      <c r="E148" s="1">
        <f t="shared" si="14"/>
        <v>1393053.8483224001</v>
      </c>
    </row>
    <row r="149" spans="1:5">
      <c r="A149">
        <f t="shared" si="10"/>
        <v>136</v>
      </c>
      <c r="B149" s="1">
        <f t="shared" si="11"/>
        <v>11691.800830159582</v>
      </c>
      <c r="C149" s="1">
        <f t="shared" si="12"/>
        <v>5887.4097954829149</v>
      </c>
      <c r="D149" s="1">
        <f t="shared" si="13"/>
        <v>5804.391034676667</v>
      </c>
      <c r="E149" s="1">
        <f t="shared" si="14"/>
        <v>1387166.4385269172</v>
      </c>
    </row>
    <row r="150" spans="1:5">
      <c r="A150">
        <f t="shared" si="10"/>
        <v>137</v>
      </c>
      <c r="B150" s="1">
        <f t="shared" si="11"/>
        <v>11691.800830159582</v>
      </c>
      <c r="C150" s="1">
        <f t="shared" si="12"/>
        <v>5911.9406696307597</v>
      </c>
      <c r="D150" s="1">
        <f t="shared" si="13"/>
        <v>5779.8601605288222</v>
      </c>
      <c r="E150" s="1">
        <f t="shared" si="14"/>
        <v>1381254.4978572866</v>
      </c>
    </row>
    <row r="151" spans="1:5">
      <c r="A151">
        <f t="shared" si="10"/>
        <v>138</v>
      </c>
      <c r="B151" s="1">
        <f t="shared" si="11"/>
        <v>11691.800830159582</v>
      </c>
      <c r="C151" s="1">
        <f t="shared" si="12"/>
        <v>5936.5737557542216</v>
      </c>
      <c r="D151" s="1">
        <f t="shared" si="13"/>
        <v>5755.2270744053603</v>
      </c>
      <c r="E151" s="1">
        <f t="shared" si="14"/>
        <v>1375317.9241015324</v>
      </c>
    </row>
    <row r="152" spans="1:5">
      <c r="A152">
        <f t="shared" si="10"/>
        <v>139</v>
      </c>
      <c r="B152" s="1">
        <f t="shared" si="11"/>
        <v>11691.800830159582</v>
      </c>
      <c r="C152" s="1">
        <f t="shared" si="12"/>
        <v>5961.3094797365302</v>
      </c>
      <c r="D152" s="1">
        <f t="shared" si="13"/>
        <v>5730.4913504230517</v>
      </c>
      <c r="E152" s="1">
        <f t="shared" si="14"/>
        <v>1369356.6146217959</v>
      </c>
    </row>
    <row r="153" spans="1:5">
      <c r="A153">
        <f t="shared" si="10"/>
        <v>140</v>
      </c>
      <c r="B153" s="1">
        <f t="shared" si="11"/>
        <v>11691.800830159582</v>
      </c>
      <c r="C153" s="1">
        <f t="shared" si="12"/>
        <v>5986.1482692354321</v>
      </c>
      <c r="D153" s="1">
        <f t="shared" si="13"/>
        <v>5705.6525609241498</v>
      </c>
      <c r="E153" s="1">
        <f t="shared" si="14"/>
        <v>1363370.4663525606</v>
      </c>
    </row>
    <row r="154" spans="1:5">
      <c r="A154">
        <f t="shared" si="10"/>
        <v>141</v>
      </c>
      <c r="B154" s="1">
        <f t="shared" si="11"/>
        <v>11691.800830159582</v>
      </c>
      <c r="C154" s="1">
        <f t="shared" si="12"/>
        <v>6011.0905536905793</v>
      </c>
      <c r="D154" s="1">
        <f t="shared" si="13"/>
        <v>5680.7102764690026</v>
      </c>
      <c r="E154" s="1">
        <f t="shared" si="14"/>
        <v>1357359.3757988699</v>
      </c>
    </row>
    <row r="155" spans="1:5">
      <c r="A155">
        <f t="shared" si="10"/>
        <v>142</v>
      </c>
      <c r="B155" s="1">
        <f t="shared" si="11"/>
        <v>11691.800830159582</v>
      </c>
      <c r="C155" s="1">
        <f t="shared" si="12"/>
        <v>6036.1367643309577</v>
      </c>
      <c r="D155" s="1">
        <f t="shared" si="13"/>
        <v>5655.6640658286242</v>
      </c>
      <c r="E155" s="1">
        <f t="shared" si="14"/>
        <v>1351323.2390345389</v>
      </c>
    </row>
    <row r="156" spans="1:5">
      <c r="A156">
        <f t="shared" si="10"/>
        <v>143</v>
      </c>
      <c r="B156" s="1">
        <f t="shared" si="11"/>
        <v>11691.800830159582</v>
      </c>
      <c r="C156" s="1">
        <f t="shared" si="12"/>
        <v>6061.287334182337</v>
      </c>
      <c r="D156" s="1">
        <f t="shared" si="13"/>
        <v>5630.5134959772449</v>
      </c>
      <c r="E156" s="1">
        <f t="shared" si="14"/>
        <v>1345261.9517003566</v>
      </c>
    </row>
    <row r="157" spans="1:5">
      <c r="A157">
        <f t="shared" si="10"/>
        <v>144</v>
      </c>
      <c r="B157" s="1">
        <f t="shared" si="11"/>
        <v>11691.800830159582</v>
      </c>
      <c r="C157" s="1">
        <f t="shared" si="12"/>
        <v>6086.5426980747634</v>
      </c>
      <c r="D157" s="1">
        <f t="shared" si="13"/>
        <v>5605.2581320848185</v>
      </c>
      <c r="E157" s="1">
        <f t="shared" si="14"/>
        <v>1339175.4090022817</v>
      </c>
    </row>
    <row r="158" spans="1:5">
      <c r="A158">
        <f t="shared" si="10"/>
        <v>145</v>
      </c>
      <c r="B158" s="1">
        <f t="shared" si="11"/>
        <v>11691.800830159582</v>
      </c>
      <c r="C158" s="1">
        <f t="shared" si="12"/>
        <v>6111.9032926500749</v>
      </c>
      <c r="D158" s="1">
        <f t="shared" si="13"/>
        <v>5579.8975375095069</v>
      </c>
      <c r="E158" s="1">
        <f t="shared" si="14"/>
        <v>1333063.5057096316</v>
      </c>
    </row>
    <row r="159" spans="1:5">
      <c r="A159">
        <f t="shared" si="10"/>
        <v>146</v>
      </c>
      <c r="B159" s="1">
        <f t="shared" si="11"/>
        <v>11691.800830159582</v>
      </c>
      <c r="C159" s="1">
        <f t="shared" si="12"/>
        <v>6137.36955636945</v>
      </c>
      <c r="D159" s="1">
        <f t="shared" si="13"/>
        <v>5554.4312737901319</v>
      </c>
      <c r="E159" s="1">
        <f t="shared" si="14"/>
        <v>1326926.1361532621</v>
      </c>
    </row>
    <row r="160" spans="1:5">
      <c r="A160">
        <f t="shared" si="10"/>
        <v>147</v>
      </c>
      <c r="B160" s="1">
        <f t="shared" si="11"/>
        <v>11691.800830159582</v>
      </c>
      <c r="C160" s="1">
        <f t="shared" si="12"/>
        <v>6162.94192952099</v>
      </c>
      <c r="D160" s="1">
        <f t="shared" si="13"/>
        <v>5528.8589006385919</v>
      </c>
      <c r="E160" s="1">
        <f t="shared" si="14"/>
        <v>1320763.1942237411</v>
      </c>
    </row>
    <row r="161" spans="1:5">
      <c r="A161">
        <f t="shared" si="10"/>
        <v>148</v>
      </c>
      <c r="B161" s="1">
        <f t="shared" si="11"/>
        <v>11691.800830159582</v>
      </c>
      <c r="C161" s="1">
        <f t="shared" si="12"/>
        <v>6188.6208542273271</v>
      </c>
      <c r="D161" s="1">
        <f t="shared" si="13"/>
        <v>5503.1799759322548</v>
      </c>
      <c r="E161" s="1">
        <f t="shared" si="14"/>
        <v>1314574.5733695137</v>
      </c>
    </row>
    <row r="162" spans="1:5">
      <c r="A162">
        <f t="shared" si="10"/>
        <v>149</v>
      </c>
      <c r="B162" s="1">
        <f t="shared" si="11"/>
        <v>11691.800830159582</v>
      </c>
      <c r="C162" s="1">
        <f t="shared" si="12"/>
        <v>6214.4067744532749</v>
      </c>
      <c r="D162" s="1">
        <f t="shared" si="13"/>
        <v>5477.394055706307</v>
      </c>
      <c r="E162" s="1">
        <f t="shared" si="14"/>
        <v>1308360.1665950604</v>
      </c>
    </row>
    <row r="163" spans="1:5">
      <c r="A163">
        <f t="shared" si="10"/>
        <v>150</v>
      </c>
      <c r="B163" s="1">
        <f t="shared" si="11"/>
        <v>11691.800830159582</v>
      </c>
      <c r="C163" s="1">
        <f t="shared" si="12"/>
        <v>6240.3001360134967</v>
      </c>
      <c r="D163" s="1">
        <f t="shared" si="13"/>
        <v>5451.5006941460852</v>
      </c>
      <c r="E163" s="1">
        <f t="shared" si="14"/>
        <v>1302119.866459047</v>
      </c>
    </row>
    <row r="164" spans="1:5">
      <c r="A164">
        <f t="shared" si="10"/>
        <v>151</v>
      </c>
      <c r="B164" s="1">
        <f t="shared" si="11"/>
        <v>11691.800830159582</v>
      </c>
      <c r="C164" s="1">
        <f t="shared" si="12"/>
        <v>6266.3013865802195</v>
      </c>
      <c r="D164" s="1">
        <f t="shared" si="13"/>
        <v>5425.4994435793624</v>
      </c>
      <c r="E164" s="1">
        <f t="shared" si="14"/>
        <v>1295853.5650724669</v>
      </c>
    </row>
    <row r="165" spans="1:5">
      <c r="A165">
        <f t="shared" si="10"/>
        <v>152</v>
      </c>
      <c r="B165" s="1">
        <f t="shared" si="11"/>
        <v>11691.800830159582</v>
      </c>
      <c r="C165" s="1">
        <f t="shared" si="12"/>
        <v>6292.4109756909702</v>
      </c>
      <c r="D165" s="1">
        <f t="shared" si="13"/>
        <v>5399.3898544686117</v>
      </c>
      <c r="E165" s="1">
        <f t="shared" si="14"/>
        <v>1289561.1540967759</v>
      </c>
    </row>
    <row r="166" spans="1:5">
      <c r="A166">
        <f t="shared" si="10"/>
        <v>153</v>
      </c>
      <c r="B166" s="1">
        <f t="shared" si="11"/>
        <v>11691.800830159582</v>
      </c>
      <c r="C166" s="1">
        <f t="shared" si="12"/>
        <v>6318.6293547563491</v>
      </c>
      <c r="D166" s="1">
        <f t="shared" si="13"/>
        <v>5373.1714754032328</v>
      </c>
      <c r="E166" s="1">
        <f t="shared" si="14"/>
        <v>1283242.5247420196</v>
      </c>
    </row>
    <row r="167" spans="1:5">
      <c r="A167">
        <f t="shared" si="10"/>
        <v>154</v>
      </c>
      <c r="B167" s="1">
        <f t="shared" si="11"/>
        <v>11691.800830159582</v>
      </c>
      <c r="C167" s="1">
        <f t="shared" si="12"/>
        <v>6344.9569770678336</v>
      </c>
      <c r="D167" s="1">
        <f t="shared" si="13"/>
        <v>5346.8438530917483</v>
      </c>
      <c r="E167" s="1">
        <f t="shared" si="14"/>
        <v>1276897.5677649518</v>
      </c>
    </row>
    <row r="168" spans="1:5">
      <c r="A168">
        <f t="shared" si="10"/>
        <v>155</v>
      </c>
      <c r="B168" s="1">
        <f t="shared" si="11"/>
        <v>11691.800830159582</v>
      </c>
      <c r="C168" s="1">
        <f t="shared" si="12"/>
        <v>6371.3942978056157</v>
      </c>
      <c r="D168" s="1">
        <f t="shared" si="13"/>
        <v>5320.4065323539662</v>
      </c>
      <c r="E168" s="1">
        <f t="shared" si="14"/>
        <v>1270526.1734671462</v>
      </c>
    </row>
    <row r="169" spans="1:5">
      <c r="A169">
        <f t="shared" si="10"/>
        <v>156</v>
      </c>
      <c r="B169" s="1">
        <f t="shared" si="11"/>
        <v>11691.800830159582</v>
      </c>
      <c r="C169" s="1">
        <f t="shared" si="12"/>
        <v>6397.9417740464723</v>
      </c>
      <c r="D169" s="1">
        <f t="shared" si="13"/>
        <v>5293.8590561131095</v>
      </c>
      <c r="E169" s="1">
        <f t="shared" si="14"/>
        <v>1264128.2316930997</v>
      </c>
    </row>
    <row r="170" spans="1:5">
      <c r="A170">
        <f t="shared" si="10"/>
        <v>157</v>
      </c>
      <c r="B170" s="1">
        <f t="shared" si="11"/>
        <v>11691.800830159582</v>
      </c>
      <c r="C170" s="1">
        <f t="shared" si="12"/>
        <v>6424.599864771666</v>
      </c>
      <c r="D170" s="1">
        <f t="shared" si="13"/>
        <v>5267.2009653879159</v>
      </c>
      <c r="E170" s="1">
        <f t="shared" si="14"/>
        <v>1257703.6318283281</v>
      </c>
    </row>
    <row r="171" spans="1:5">
      <c r="A171">
        <f t="shared" si="10"/>
        <v>158</v>
      </c>
      <c r="B171" s="1">
        <f t="shared" si="11"/>
        <v>11691.800830159582</v>
      </c>
      <c r="C171" s="1">
        <f t="shared" si="12"/>
        <v>6451.369030874881</v>
      </c>
      <c r="D171" s="1">
        <f t="shared" si="13"/>
        <v>5240.4317992847009</v>
      </c>
      <c r="E171" s="1">
        <f t="shared" si="14"/>
        <v>1251252.2627974532</v>
      </c>
    </row>
    <row r="172" spans="1:5">
      <c r="A172">
        <f t="shared" si="10"/>
        <v>159</v>
      </c>
      <c r="B172" s="1">
        <f t="shared" si="11"/>
        <v>11691.800830159582</v>
      </c>
      <c r="C172" s="1">
        <f t="shared" si="12"/>
        <v>6478.2497351701932</v>
      </c>
      <c r="D172" s="1">
        <f t="shared" si="13"/>
        <v>5213.5510949893887</v>
      </c>
      <c r="E172" s="1">
        <f t="shared" si="14"/>
        <v>1244774.0130622829</v>
      </c>
    </row>
    <row r="173" spans="1:5">
      <c r="A173">
        <f t="shared" si="10"/>
        <v>160</v>
      </c>
      <c r="B173" s="1">
        <f t="shared" si="11"/>
        <v>11691.800830159582</v>
      </c>
      <c r="C173" s="1">
        <f t="shared" si="12"/>
        <v>6505.2424424000701</v>
      </c>
      <c r="D173" s="1">
        <f t="shared" si="13"/>
        <v>5186.5583877595118</v>
      </c>
      <c r="E173" s="1">
        <f t="shared" si="14"/>
        <v>1238268.770619883</v>
      </c>
    </row>
    <row r="174" spans="1:5">
      <c r="A174">
        <f t="shared" si="10"/>
        <v>161</v>
      </c>
      <c r="B174" s="1">
        <f t="shared" si="11"/>
        <v>11691.800830159582</v>
      </c>
      <c r="C174" s="1">
        <f t="shared" si="12"/>
        <v>6532.3476192434027</v>
      </c>
      <c r="D174" s="1">
        <f t="shared" si="13"/>
        <v>5159.4532109161792</v>
      </c>
      <c r="E174" s="1">
        <f t="shared" si="14"/>
        <v>1231736.4230006395</v>
      </c>
    </row>
    <row r="175" spans="1:5">
      <c r="A175">
        <f t="shared" si="10"/>
        <v>162</v>
      </c>
      <c r="B175" s="1">
        <f t="shared" si="11"/>
        <v>11691.800830159582</v>
      </c>
      <c r="C175" s="1">
        <f t="shared" si="12"/>
        <v>6559.5657343235835</v>
      </c>
      <c r="D175" s="1">
        <f t="shared" si="13"/>
        <v>5132.2350958359984</v>
      </c>
      <c r="E175" s="1">
        <f t="shared" si="14"/>
        <v>1225176.857266316</v>
      </c>
    </row>
    <row r="176" spans="1:5">
      <c r="A176">
        <f t="shared" si="10"/>
        <v>163</v>
      </c>
      <c r="B176" s="1">
        <f t="shared" si="11"/>
        <v>11691.800830159582</v>
      </c>
      <c r="C176" s="1">
        <f t="shared" si="12"/>
        <v>6586.8972582165989</v>
      </c>
      <c r="D176" s="1">
        <f t="shared" si="13"/>
        <v>5104.903571942983</v>
      </c>
      <c r="E176" s="1">
        <f t="shared" si="14"/>
        <v>1218589.9600080994</v>
      </c>
    </row>
    <row r="177" spans="1:5">
      <c r="A177">
        <f t="shared" si="10"/>
        <v>164</v>
      </c>
      <c r="B177" s="1">
        <f t="shared" si="11"/>
        <v>11691.800830159582</v>
      </c>
      <c r="C177" s="1">
        <f t="shared" si="12"/>
        <v>6614.3426634591679</v>
      </c>
      <c r="D177" s="1">
        <f t="shared" si="13"/>
        <v>5077.458166700414</v>
      </c>
      <c r="E177" s="1">
        <f t="shared" si="14"/>
        <v>1211975.6173446402</v>
      </c>
    </row>
    <row r="178" spans="1:5">
      <c r="A178">
        <f t="shared" si="10"/>
        <v>165</v>
      </c>
      <c r="B178" s="1">
        <f t="shared" si="11"/>
        <v>11691.800830159582</v>
      </c>
      <c r="C178" s="1">
        <f t="shared" si="12"/>
        <v>6641.9024245569144</v>
      </c>
      <c r="D178" s="1">
        <f t="shared" si="13"/>
        <v>5049.8984056026675</v>
      </c>
      <c r="E178" s="1">
        <f t="shared" si="14"/>
        <v>1205333.7149200833</v>
      </c>
    </row>
    <row r="179" spans="1:5">
      <c r="A179">
        <f t="shared" ref="A179:A242" si="15">IF(($B$7*$B$8&gt;A178),IF(($B$7*$B$8)=A178,"",A178+1),"")</f>
        <v>166</v>
      </c>
      <c r="B179" s="1">
        <f t="shared" si="11"/>
        <v>11691.800830159582</v>
      </c>
      <c r="C179" s="1">
        <f t="shared" ref="C179:C242" si="16">IF(A179="","",B179-D179)</f>
        <v>6669.5770179925685</v>
      </c>
      <c r="D179" s="1">
        <f t="shared" ref="D179:D242" si="17">IF(A179="","",(E178*($B$6/$B$8)))</f>
        <v>5022.2238121670134</v>
      </c>
      <c r="E179" s="1">
        <f t="shared" ref="E179:E242" si="18">IF(A179="","",E178-C179)</f>
        <v>1198664.1379020908</v>
      </c>
    </row>
    <row r="180" spans="1:5">
      <c r="A180">
        <f t="shared" si="15"/>
        <v>167</v>
      </c>
      <c r="B180" s="1">
        <f t="shared" si="11"/>
        <v>11691.800830159582</v>
      </c>
      <c r="C180" s="1">
        <f t="shared" si="16"/>
        <v>6697.3669222342032</v>
      </c>
      <c r="D180" s="1">
        <f t="shared" si="17"/>
        <v>4994.4339079253787</v>
      </c>
      <c r="E180" s="1">
        <f t="shared" si="18"/>
        <v>1191966.7709798566</v>
      </c>
    </row>
    <row r="181" spans="1:5">
      <c r="A181">
        <f t="shared" si="15"/>
        <v>168</v>
      </c>
      <c r="B181" s="1">
        <f t="shared" si="11"/>
        <v>11691.800830159582</v>
      </c>
      <c r="C181" s="1">
        <f t="shared" si="16"/>
        <v>6725.2726177435125</v>
      </c>
      <c r="D181" s="1">
        <f t="shared" si="17"/>
        <v>4966.5282124160694</v>
      </c>
      <c r="E181" s="1">
        <f t="shared" si="18"/>
        <v>1185241.498362113</v>
      </c>
    </row>
    <row r="182" spans="1:5">
      <c r="A182">
        <f t="shared" si="15"/>
        <v>169</v>
      </c>
      <c r="B182" s="1">
        <f t="shared" si="11"/>
        <v>11691.800830159582</v>
      </c>
      <c r="C182" s="1">
        <f t="shared" si="16"/>
        <v>6753.2945869841114</v>
      </c>
      <c r="D182" s="1">
        <f t="shared" si="17"/>
        <v>4938.5062431754704</v>
      </c>
      <c r="E182" s="1">
        <f t="shared" si="18"/>
        <v>1178488.2037751288</v>
      </c>
    </row>
    <row r="183" spans="1:5">
      <c r="A183">
        <f t="shared" si="15"/>
        <v>170</v>
      </c>
      <c r="B183" s="1">
        <f t="shared" si="11"/>
        <v>11691.800830159582</v>
      </c>
      <c r="C183" s="1">
        <f t="shared" si="16"/>
        <v>6781.4333144298789</v>
      </c>
      <c r="D183" s="1">
        <f t="shared" si="17"/>
        <v>4910.367515729703</v>
      </c>
      <c r="E183" s="1">
        <f t="shared" si="18"/>
        <v>1171706.770460699</v>
      </c>
    </row>
    <row r="184" spans="1:5">
      <c r="A184">
        <f t="shared" si="15"/>
        <v>171</v>
      </c>
      <c r="B184" s="1">
        <f t="shared" si="11"/>
        <v>11691.800830159582</v>
      </c>
      <c r="C184" s="1">
        <f t="shared" si="16"/>
        <v>6809.6892865733362</v>
      </c>
      <c r="D184" s="1">
        <f t="shared" si="17"/>
        <v>4882.1115435862457</v>
      </c>
      <c r="E184" s="1">
        <f t="shared" si="18"/>
        <v>1164897.0811741257</v>
      </c>
    </row>
    <row r="185" spans="1:5">
      <c r="A185">
        <f t="shared" si="15"/>
        <v>172</v>
      </c>
      <c r="B185" s="1">
        <f t="shared" si="11"/>
        <v>11691.800830159582</v>
      </c>
      <c r="C185" s="1">
        <f t="shared" si="16"/>
        <v>6838.0629919340581</v>
      </c>
      <c r="D185" s="1">
        <f t="shared" si="17"/>
        <v>4853.7378382255238</v>
      </c>
      <c r="E185" s="1">
        <f t="shared" si="18"/>
        <v>1158059.0181821915</v>
      </c>
    </row>
    <row r="186" spans="1:5">
      <c r="A186">
        <f t="shared" si="15"/>
        <v>173</v>
      </c>
      <c r="B186" s="1">
        <f t="shared" si="11"/>
        <v>11691.800830159582</v>
      </c>
      <c r="C186" s="1">
        <f t="shared" si="16"/>
        <v>6866.554921067117</v>
      </c>
      <c r="D186" s="1">
        <f t="shared" si="17"/>
        <v>4825.2459090924649</v>
      </c>
      <c r="E186" s="1">
        <f t="shared" si="18"/>
        <v>1151192.4632611244</v>
      </c>
    </row>
    <row r="187" spans="1:5">
      <c r="A187">
        <f t="shared" si="15"/>
        <v>174</v>
      </c>
      <c r="B187" s="1">
        <f t="shared" si="11"/>
        <v>11691.800830159582</v>
      </c>
      <c r="C187" s="1">
        <f t="shared" si="16"/>
        <v>6895.1655665715634</v>
      </c>
      <c r="D187" s="1">
        <f t="shared" si="17"/>
        <v>4796.6352635880185</v>
      </c>
      <c r="E187" s="1">
        <f t="shared" si="18"/>
        <v>1144297.2976945529</v>
      </c>
    </row>
    <row r="188" spans="1:5">
      <c r="A188">
        <f t="shared" si="15"/>
        <v>175</v>
      </c>
      <c r="B188" s="1">
        <f t="shared" si="11"/>
        <v>11691.800830159582</v>
      </c>
      <c r="C188" s="1">
        <f t="shared" si="16"/>
        <v>6923.8954230989448</v>
      </c>
      <c r="D188" s="1">
        <f t="shared" si="17"/>
        <v>4767.9054070606371</v>
      </c>
      <c r="E188" s="1">
        <f t="shared" si="18"/>
        <v>1137373.402271454</v>
      </c>
    </row>
    <row r="189" spans="1:5">
      <c r="A189">
        <f t="shared" si="15"/>
        <v>176</v>
      </c>
      <c r="B189" s="1">
        <f t="shared" si="11"/>
        <v>11691.800830159582</v>
      </c>
      <c r="C189" s="1">
        <f t="shared" si="16"/>
        <v>6952.7449873618571</v>
      </c>
      <c r="D189" s="1">
        <f t="shared" si="17"/>
        <v>4739.0558427977248</v>
      </c>
      <c r="E189" s="1">
        <f t="shared" si="18"/>
        <v>1130420.6572840922</v>
      </c>
    </row>
    <row r="190" spans="1:5">
      <c r="A190">
        <f t="shared" si="15"/>
        <v>177</v>
      </c>
      <c r="B190" s="1">
        <f t="shared" si="11"/>
        <v>11691.800830159582</v>
      </c>
      <c r="C190" s="1">
        <f t="shared" si="16"/>
        <v>6981.7147581425315</v>
      </c>
      <c r="D190" s="1">
        <f t="shared" si="17"/>
        <v>4710.0860720170504</v>
      </c>
      <c r="E190" s="1">
        <f t="shared" si="18"/>
        <v>1123438.9425259496</v>
      </c>
    </row>
    <row r="191" spans="1:5">
      <c r="A191">
        <f t="shared" si="15"/>
        <v>178</v>
      </c>
      <c r="B191" s="1">
        <f t="shared" si="11"/>
        <v>11691.800830159582</v>
      </c>
      <c r="C191" s="1">
        <f t="shared" si="16"/>
        <v>7010.8052363014585</v>
      </c>
      <c r="D191" s="1">
        <f t="shared" si="17"/>
        <v>4680.9955938581234</v>
      </c>
      <c r="E191" s="1">
        <f t="shared" si="18"/>
        <v>1116428.1372896482</v>
      </c>
    </row>
    <row r="192" spans="1:5">
      <c r="A192">
        <f t="shared" si="15"/>
        <v>179</v>
      </c>
      <c r="B192" s="1">
        <f t="shared" si="11"/>
        <v>11691.800830159582</v>
      </c>
      <c r="C192" s="1">
        <f t="shared" si="16"/>
        <v>7040.0169247860476</v>
      </c>
      <c r="D192" s="1">
        <f t="shared" si="17"/>
        <v>4651.7839053735343</v>
      </c>
      <c r="E192" s="1">
        <f t="shared" si="18"/>
        <v>1109388.120364862</v>
      </c>
    </row>
    <row r="193" spans="1:5">
      <c r="A193">
        <f t="shared" si="15"/>
        <v>180</v>
      </c>
      <c r="B193" s="1">
        <f t="shared" si="11"/>
        <v>11691.800830159582</v>
      </c>
      <c r="C193" s="1">
        <f t="shared" si="16"/>
        <v>7069.3503286393234</v>
      </c>
      <c r="D193" s="1">
        <f t="shared" si="17"/>
        <v>4622.4505015202585</v>
      </c>
      <c r="E193" s="1">
        <f t="shared" si="18"/>
        <v>1102318.7700362226</v>
      </c>
    </row>
    <row r="194" spans="1:5">
      <c r="A194">
        <f t="shared" si="15"/>
        <v>181</v>
      </c>
      <c r="B194" s="1">
        <f t="shared" si="11"/>
        <v>11691.800830159582</v>
      </c>
      <c r="C194" s="1">
        <f t="shared" si="16"/>
        <v>7098.8059550086546</v>
      </c>
      <c r="D194" s="1">
        <f t="shared" si="17"/>
        <v>4592.9948751509273</v>
      </c>
      <c r="E194" s="1">
        <f t="shared" si="18"/>
        <v>1095219.964081214</v>
      </c>
    </row>
    <row r="195" spans="1:5">
      <c r="A195">
        <f t="shared" si="15"/>
        <v>182</v>
      </c>
      <c r="B195" s="1">
        <f t="shared" si="11"/>
        <v>11691.800830159582</v>
      </c>
      <c r="C195" s="1">
        <f t="shared" si="16"/>
        <v>7128.3843131545236</v>
      </c>
      <c r="D195" s="1">
        <f t="shared" si="17"/>
        <v>4563.4165170050583</v>
      </c>
      <c r="E195" s="1">
        <f t="shared" si="18"/>
        <v>1088091.5797680595</v>
      </c>
    </row>
    <row r="196" spans="1:5">
      <c r="A196">
        <f t="shared" si="15"/>
        <v>183</v>
      </c>
      <c r="B196" s="1">
        <f t="shared" si="11"/>
        <v>11691.800830159582</v>
      </c>
      <c r="C196" s="1">
        <f t="shared" si="16"/>
        <v>7158.0859144593342</v>
      </c>
      <c r="D196" s="1">
        <f t="shared" si="17"/>
        <v>4533.7149157002477</v>
      </c>
      <c r="E196" s="1">
        <f t="shared" si="18"/>
        <v>1080933.4938536002</v>
      </c>
    </row>
    <row r="197" spans="1:5">
      <c r="A197">
        <f t="shared" si="15"/>
        <v>184</v>
      </c>
      <c r="B197" s="1">
        <f t="shared" si="11"/>
        <v>11691.800830159582</v>
      </c>
      <c r="C197" s="1">
        <f t="shared" si="16"/>
        <v>7187.9112724362476</v>
      </c>
      <c r="D197" s="1">
        <f t="shared" si="17"/>
        <v>4503.8895577233343</v>
      </c>
      <c r="E197" s="1">
        <f t="shared" si="18"/>
        <v>1073745.5825811641</v>
      </c>
    </row>
    <row r="198" spans="1:5">
      <c r="A198">
        <f t="shared" si="15"/>
        <v>185</v>
      </c>
      <c r="B198" s="1">
        <f t="shared" si="11"/>
        <v>11691.800830159582</v>
      </c>
      <c r="C198" s="1">
        <f t="shared" si="16"/>
        <v>7217.8609027380653</v>
      </c>
      <c r="D198" s="1">
        <f t="shared" si="17"/>
        <v>4473.9399274215166</v>
      </c>
      <c r="E198" s="1">
        <f t="shared" si="18"/>
        <v>1066527.721678426</v>
      </c>
    </row>
    <row r="199" spans="1:5">
      <c r="A199">
        <f t="shared" si="15"/>
        <v>186</v>
      </c>
      <c r="B199" s="1">
        <f t="shared" si="11"/>
        <v>11691.800830159582</v>
      </c>
      <c r="C199" s="1">
        <f t="shared" si="16"/>
        <v>7247.9353231661398</v>
      </c>
      <c r="D199" s="1">
        <f t="shared" si="17"/>
        <v>4443.8655069934421</v>
      </c>
      <c r="E199" s="1">
        <f t="shared" si="18"/>
        <v>1059279.7863552598</v>
      </c>
    </row>
    <row r="200" spans="1:5">
      <c r="A200">
        <f t="shared" si="15"/>
        <v>187</v>
      </c>
      <c r="B200" s="1">
        <f t="shared" si="11"/>
        <v>11691.800830159582</v>
      </c>
      <c r="C200" s="1">
        <f t="shared" si="16"/>
        <v>7278.1350536793325</v>
      </c>
      <c r="D200" s="1">
        <f t="shared" si="17"/>
        <v>4413.6657764802494</v>
      </c>
      <c r="E200" s="1">
        <f t="shared" si="18"/>
        <v>1052001.6513015805</v>
      </c>
    </row>
    <row r="201" spans="1:5">
      <c r="A201">
        <f t="shared" si="15"/>
        <v>188</v>
      </c>
      <c r="B201" s="1">
        <f t="shared" si="11"/>
        <v>11691.800830159582</v>
      </c>
      <c r="C201" s="1">
        <f t="shared" si="16"/>
        <v>7308.4606164029965</v>
      </c>
      <c r="D201" s="1">
        <f t="shared" si="17"/>
        <v>4383.3402137565854</v>
      </c>
      <c r="E201" s="1">
        <f t="shared" si="18"/>
        <v>1044693.1906851775</v>
      </c>
    </row>
    <row r="202" spans="1:5">
      <c r="A202">
        <f t="shared" si="15"/>
        <v>189</v>
      </c>
      <c r="B202" s="1">
        <f t="shared" si="11"/>
        <v>11691.800830159582</v>
      </c>
      <c r="C202" s="1">
        <f t="shared" si="16"/>
        <v>7338.9125356380091</v>
      </c>
      <c r="D202" s="1">
        <f t="shared" si="17"/>
        <v>4352.8882945215728</v>
      </c>
      <c r="E202" s="1">
        <f t="shared" si="18"/>
        <v>1037354.2781495395</v>
      </c>
    </row>
    <row r="203" spans="1:5">
      <c r="A203">
        <f t="shared" si="15"/>
        <v>190</v>
      </c>
      <c r="B203" s="1">
        <f t="shared" si="11"/>
        <v>11691.800830159582</v>
      </c>
      <c r="C203" s="1">
        <f t="shared" si="16"/>
        <v>7369.4913378698338</v>
      </c>
      <c r="D203" s="1">
        <f t="shared" si="17"/>
        <v>4322.3094922897481</v>
      </c>
      <c r="E203" s="1">
        <f t="shared" si="18"/>
        <v>1029984.7868116697</v>
      </c>
    </row>
    <row r="204" spans="1:5">
      <c r="A204">
        <f t="shared" si="15"/>
        <v>191</v>
      </c>
      <c r="B204" s="1">
        <f t="shared" si="11"/>
        <v>11691.800830159582</v>
      </c>
      <c r="C204" s="1">
        <f t="shared" si="16"/>
        <v>7400.1975517776245</v>
      </c>
      <c r="D204" s="1">
        <f t="shared" si="17"/>
        <v>4291.6032783819574</v>
      </c>
      <c r="E204" s="1">
        <f t="shared" si="18"/>
        <v>1022584.5892598921</v>
      </c>
    </row>
    <row r="205" spans="1:5">
      <c r="A205">
        <f t="shared" si="15"/>
        <v>192</v>
      </c>
      <c r="B205" s="1">
        <f t="shared" si="11"/>
        <v>11691.800830159582</v>
      </c>
      <c r="C205" s="1">
        <f t="shared" si="16"/>
        <v>7431.0317082433648</v>
      </c>
      <c r="D205" s="1">
        <f t="shared" si="17"/>
        <v>4260.769121916217</v>
      </c>
      <c r="E205" s="1">
        <f t="shared" si="18"/>
        <v>1015153.5575516487</v>
      </c>
    </row>
    <row r="206" spans="1:5">
      <c r="A206">
        <f t="shared" si="15"/>
        <v>193</v>
      </c>
      <c r="B206" s="1">
        <f t="shared" si="11"/>
        <v>11691.800830159582</v>
      </c>
      <c r="C206" s="1">
        <f t="shared" si="16"/>
        <v>7461.9943403610459</v>
      </c>
      <c r="D206" s="1">
        <f t="shared" si="17"/>
        <v>4229.8064897985359</v>
      </c>
      <c r="E206" s="1">
        <f t="shared" si="18"/>
        <v>1007691.5632112876</v>
      </c>
    </row>
    <row r="207" spans="1:5">
      <c r="A207">
        <f t="shared" si="15"/>
        <v>194</v>
      </c>
      <c r="B207" s="1">
        <f t="shared" si="11"/>
        <v>11691.800830159582</v>
      </c>
      <c r="C207" s="1">
        <f t="shared" si="16"/>
        <v>7493.0859834458834</v>
      </c>
      <c r="D207" s="1">
        <f t="shared" si="17"/>
        <v>4198.7148467136985</v>
      </c>
      <c r="E207" s="1">
        <f t="shared" si="18"/>
        <v>1000198.4772278417</v>
      </c>
    </row>
    <row r="208" spans="1:5">
      <c r="A208">
        <f t="shared" si="15"/>
        <v>195</v>
      </c>
      <c r="B208" s="1">
        <f t="shared" ref="B208:B271" si="19">IF(A208="","",$B$14)</f>
        <v>11691.800830159582</v>
      </c>
      <c r="C208" s="1">
        <f t="shared" si="16"/>
        <v>7524.3071750435747</v>
      </c>
      <c r="D208" s="1">
        <f t="shared" si="17"/>
        <v>4167.4936551160072</v>
      </c>
      <c r="E208" s="1">
        <f t="shared" si="18"/>
        <v>992674.17005279812</v>
      </c>
    </row>
    <row r="209" spans="1:5">
      <c r="A209">
        <f t="shared" si="15"/>
        <v>196</v>
      </c>
      <c r="B209" s="1">
        <f t="shared" si="19"/>
        <v>11691.800830159582</v>
      </c>
      <c r="C209" s="1">
        <f t="shared" si="16"/>
        <v>7555.6584549395902</v>
      </c>
      <c r="D209" s="1">
        <f t="shared" si="17"/>
        <v>4136.1423752199917</v>
      </c>
      <c r="E209" s="1">
        <f t="shared" si="18"/>
        <v>985118.51159785851</v>
      </c>
    </row>
    <row r="210" spans="1:5">
      <c r="A210">
        <f t="shared" si="15"/>
        <v>197</v>
      </c>
      <c r="B210" s="1">
        <f t="shared" si="19"/>
        <v>11691.800830159582</v>
      </c>
      <c r="C210" s="1">
        <f t="shared" si="16"/>
        <v>7587.140365168505</v>
      </c>
      <c r="D210" s="1">
        <f t="shared" si="17"/>
        <v>4104.6604649910769</v>
      </c>
      <c r="E210" s="1">
        <f t="shared" si="18"/>
        <v>977531.37123269006</v>
      </c>
    </row>
    <row r="211" spans="1:5">
      <c r="A211">
        <f t="shared" si="15"/>
        <v>198</v>
      </c>
      <c r="B211" s="1">
        <f t="shared" si="19"/>
        <v>11691.800830159582</v>
      </c>
      <c r="C211" s="1">
        <f t="shared" si="16"/>
        <v>7618.7534500233733</v>
      </c>
      <c r="D211" s="1">
        <f t="shared" si="17"/>
        <v>4073.0473801362086</v>
      </c>
      <c r="E211" s="1">
        <f t="shared" si="18"/>
        <v>969912.6177826667</v>
      </c>
    </row>
    <row r="212" spans="1:5">
      <c r="A212">
        <f t="shared" si="15"/>
        <v>199</v>
      </c>
      <c r="B212" s="1">
        <f t="shared" si="19"/>
        <v>11691.800830159582</v>
      </c>
      <c r="C212" s="1">
        <f t="shared" si="16"/>
        <v>7650.498256065137</v>
      </c>
      <c r="D212" s="1">
        <f t="shared" si="17"/>
        <v>4041.3025740944445</v>
      </c>
      <c r="E212" s="1">
        <f t="shared" si="18"/>
        <v>962262.11952660151</v>
      </c>
    </row>
    <row r="213" spans="1:5">
      <c r="A213">
        <f t="shared" si="15"/>
        <v>200</v>
      </c>
      <c r="B213" s="1">
        <f t="shared" si="19"/>
        <v>11691.800830159582</v>
      </c>
      <c r="C213" s="1">
        <f t="shared" si="16"/>
        <v>7682.3753321320755</v>
      </c>
      <c r="D213" s="1">
        <f t="shared" si="17"/>
        <v>4009.4254980275064</v>
      </c>
      <c r="E213" s="1">
        <f t="shared" si="18"/>
        <v>954579.74419446941</v>
      </c>
    </row>
    <row r="214" spans="1:5">
      <c r="A214">
        <f t="shared" si="15"/>
        <v>201</v>
      </c>
      <c r="B214" s="1">
        <f t="shared" si="19"/>
        <v>11691.800830159582</v>
      </c>
      <c r="C214" s="1">
        <f t="shared" si="16"/>
        <v>7714.3852293492928</v>
      </c>
      <c r="D214" s="1">
        <f t="shared" si="17"/>
        <v>3977.4156008102891</v>
      </c>
      <c r="E214" s="1">
        <f t="shared" si="18"/>
        <v>946865.35896512016</v>
      </c>
    </row>
    <row r="215" spans="1:5">
      <c r="A215">
        <f t="shared" si="15"/>
        <v>202</v>
      </c>
      <c r="B215" s="1">
        <f t="shared" si="19"/>
        <v>11691.800830159582</v>
      </c>
      <c r="C215" s="1">
        <f t="shared" si="16"/>
        <v>7746.5285011382475</v>
      </c>
      <c r="D215" s="1">
        <f t="shared" si="17"/>
        <v>3945.2723290213339</v>
      </c>
      <c r="E215" s="1">
        <f t="shared" si="18"/>
        <v>939118.83046398195</v>
      </c>
    </row>
    <row r="216" spans="1:5">
      <c r="A216">
        <f t="shared" si="15"/>
        <v>203</v>
      </c>
      <c r="B216" s="1">
        <f t="shared" si="19"/>
        <v>11691.800830159582</v>
      </c>
      <c r="C216" s="1">
        <f t="shared" si="16"/>
        <v>7778.8057032263241</v>
      </c>
      <c r="D216" s="1">
        <f t="shared" si="17"/>
        <v>3912.9951269332582</v>
      </c>
      <c r="E216" s="1">
        <f t="shared" si="18"/>
        <v>931340.02476075559</v>
      </c>
    </row>
    <row r="217" spans="1:5">
      <c r="A217">
        <f t="shared" si="15"/>
        <v>204</v>
      </c>
      <c r="B217" s="1">
        <f t="shared" si="19"/>
        <v>11691.800830159582</v>
      </c>
      <c r="C217" s="1">
        <f t="shared" si="16"/>
        <v>7811.2173936564341</v>
      </c>
      <c r="D217" s="1">
        <f t="shared" si="17"/>
        <v>3880.5834365031483</v>
      </c>
      <c r="E217" s="1">
        <f t="shared" si="18"/>
        <v>923528.80736709922</v>
      </c>
    </row>
    <row r="218" spans="1:5">
      <c r="A218">
        <f t="shared" si="15"/>
        <v>205</v>
      </c>
      <c r="B218" s="1">
        <f t="shared" si="19"/>
        <v>11691.800830159582</v>
      </c>
      <c r="C218" s="1">
        <f t="shared" si="16"/>
        <v>7843.7641327966685</v>
      </c>
      <c r="D218" s="1">
        <f t="shared" si="17"/>
        <v>3848.0366973629134</v>
      </c>
      <c r="E218" s="1">
        <f t="shared" si="18"/>
        <v>915685.04323430255</v>
      </c>
    </row>
    <row r="219" spans="1:5">
      <c r="A219">
        <f t="shared" si="15"/>
        <v>206</v>
      </c>
      <c r="B219" s="1">
        <f t="shared" si="19"/>
        <v>11691.800830159582</v>
      </c>
      <c r="C219" s="1">
        <f t="shared" si="16"/>
        <v>7876.4464833499878</v>
      </c>
      <c r="D219" s="1">
        <f t="shared" si="17"/>
        <v>3815.3543468095941</v>
      </c>
      <c r="E219" s="1">
        <f t="shared" si="18"/>
        <v>907808.59675095254</v>
      </c>
    </row>
    <row r="220" spans="1:5">
      <c r="A220">
        <f t="shared" si="15"/>
        <v>207</v>
      </c>
      <c r="B220" s="1">
        <f t="shared" si="19"/>
        <v>11691.800830159582</v>
      </c>
      <c r="C220" s="1">
        <f t="shared" si="16"/>
        <v>7909.2650103639462</v>
      </c>
      <c r="D220" s="1">
        <f t="shared" si="17"/>
        <v>3782.5358197956357</v>
      </c>
      <c r="E220" s="1">
        <f t="shared" si="18"/>
        <v>899899.33174058865</v>
      </c>
    </row>
    <row r="221" spans="1:5">
      <c r="A221">
        <f t="shared" si="15"/>
        <v>208</v>
      </c>
      <c r="B221" s="1">
        <f t="shared" si="19"/>
        <v>11691.800830159582</v>
      </c>
      <c r="C221" s="1">
        <f t="shared" si="16"/>
        <v>7942.220281240463</v>
      </c>
      <c r="D221" s="1">
        <f t="shared" si="17"/>
        <v>3749.5805489191193</v>
      </c>
      <c r="E221" s="1">
        <f t="shared" si="18"/>
        <v>891957.11145934823</v>
      </c>
    </row>
    <row r="222" spans="1:5">
      <c r="A222">
        <f t="shared" si="15"/>
        <v>209</v>
      </c>
      <c r="B222" s="1">
        <f t="shared" si="19"/>
        <v>11691.800830159582</v>
      </c>
      <c r="C222" s="1">
        <f t="shared" si="16"/>
        <v>7975.3128657456309</v>
      </c>
      <c r="D222" s="1">
        <f t="shared" si="17"/>
        <v>3716.487964413951</v>
      </c>
      <c r="E222" s="1">
        <f t="shared" si="18"/>
        <v>883981.79859360261</v>
      </c>
    </row>
    <row r="223" spans="1:5">
      <c r="A223">
        <f t="shared" si="15"/>
        <v>210</v>
      </c>
      <c r="B223" s="1">
        <f t="shared" si="19"/>
        <v>11691.800830159582</v>
      </c>
      <c r="C223" s="1">
        <f t="shared" si="16"/>
        <v>8008.5433360195711</v>
      </c>
      <c r="D223" s="1">
        <f t="shared" si="17"/>
        <v>3683.2574941400107</v>
      </c>
      <c r="E223" s="1">
        <f t="shared" si="18"/>
        <v>875973.25525758299</v>
      </c>
    </row>
    <row r="224" spans="1:5">
      <c r="A224">
        <f t="shared" si="15"/>
        <v>211</v>
      </c>
      <c r="B224" s="1">
        <f t="shared" si="19"/>
        <v>11691.800830159582</v>
      </c>
      <c r="C224" s="1">
        <f t="shared" si="16"/>
        <v>8041.9122665863197</v>
      </c>
      <c r="D224" s="1">
        <f t="shared" si="17"/>
        <v>3649.8885635732622</v>
      </c>
      <c r="E224" s="1">
        <f t="shared" si="18"/>
        <v>867931.34299099667</v>
      </c>
    </row>
    <row r="225" spans="1:5">
      <c r="A225">
        <f t="shared" si="15"/>
        <v>212</v>
      </c>
      <c r="B225" s="1">
        <f t="shared" si="19"/>
        <v>11691.800830159582</v>
      </c>
      <c r="C225" s="1">
        <f t="shared" si="16"/>
        <v>8075.4202343637626</v>
      </c>
      <c r="D225" s="1">
        <f t="shared" si="17"/>
        <v>3616.3805957958193</v>
      </c>
      <c r="E225" s="1">
        <f t="shared" si="18"/>
        <v>859855.92275663291</v>
      </c>
    </row>
    <row r="226" spans="1:5">
      <c r="A226">
        <f t="shared" si="15"/>
        <v>213</v>
      </c>
      <c r="B226" s="1">
        <f t="shared" si="19"/>
        <v>11691.800830159582</v>
      </c>
      <c r="C226" s="1">
        <f t="shared" si="16"/>
        <v>8109.0678186736113</v>
      </c>
      <c r="D226" s="1">
        <f t="shared" si="17"/>
        <v>3582.7330114859706</v>
      </c>
      <c r="E226" s="1">
        <f t="shared" si="18"/>
        <v>851746.85493795935</v>
      </c>
    </row>
    <row r="227" spans="1:5">
      <c r="A227">
        <f t="shared" si="15"/>
        <v>214</v>
      </c>
      <c r="B227" s="1">
        <f t="shared" si="19"/>
        <v>11691.800830159582</v>
      </c>
      <c r="C227" s="1">
        <f t="shared" si="16"/>
        <v>8142.8556012514182</v>
      </c>
      <c r="D227" s="1">
        <f t="shared" si="17"/>
        <v>3548.9452289081637</v>
      </c>
      <c r="E227" s="1">
        <f t="shared" si="18"/>
        <v>843603.99933670787</v>
      </c>
    </row>
    <row r="228" spans="1:5">
      <c r="A228">
        <f t="shared" si="15"/>
        <v>215</v>
      </c>
      <c r="B228" s="1">
        <f t="shared" si="19"/>
        <v>11691.800830159582</v>
      </c>
      <c r="C228" s="1">
        <f t="shared" si="16"/>
        <v>8176.7841662566325</v>
      </c>
      <c r="D228" s="1">
        <f t="shared" si="17"/>
        <v>3515.0166639029494</v>
      </c>
      <c r="E228" s="1">
        <f t="shared" si="18"/>
        <v>835427.21517045121</v>
      </c>
    </row>
    <row r="229" spans="1:5">
      <c r="A229">
        <f t="shared" si="15"/>
        <v>216</v>
      </c>
      <c r="B229" s="1">
        <f t="shared" si="19"/>
        <v>11691.800830159582</v>
      </c>
      <c r="C229" s="1">
        <f t="shared" si="16"/>
        <v>8210.8541002827023</v>
      </c>
      <c r="D229" s="1">
        <f t="shared" si="17"/>
        <v>3480.94672987688</v>
      </c>
      <c r="E229" s="1">
        <f t="shared" si="18"/>
        <v>827216.36107016855</v>
      </c>
    </row>
    <row r="230" spans="1:5">
      <c r="A230">
        <f t="shared" si="15"/>
        <v>217</v>
      </c>
      <c r="B230" s="1">
        <f t="shared" si="19"/>
        <v>11691.800830159582</v>
      </c>
      <c r="C230" s="1">
        <f t="shared" si="16"/>
        <v>8245.0659923672138</v>
      </c>
      <c r="D230" s="1">
        <f t="shared" si="17"/>
        <v>3446.734837792369</v>
      </c>
      <c r="E230" s="1">
        <f t="shared" si="18"/>
        <v>818971.29507780133</v>
      </c>
    </row>
    <row r="231" spans="1:5">
      <c r="A231">
        <f t="shared" si="15"/>
        <v>218</v>
      </c>
      <c r="B231" s="1">
        <f t="shared" si="19"/>
        <v>11691.800830159582</v>
      </c>
      <c r="C231" s="1">
        <f t="shared" si="16"/>
        <v>8279.4204340020769</v>
      </c>
      <c r="D231" s="1">
        <f t="shared" si="17"/>
        <v>3412.3803961575054</v>
      </c>
      <c r="E231" s="1">
        <f t="shared" si="18"/>
        <v>810691.87464379927</v>
      </c>
    </row>
    <row r="232" spans="1:5">
      <c r="A232">
        <f t="shared" si="15"/>
        <v>219</v>
      </c>
      <c r="B232" s="1">
        <f t="shared" si="19"/>
        <v>11691.800830159582</v>
      </c>
      <c r="C232" s="1">
        <f t="shared" si="16"/>
        <v>8313.9180191437517</v>
      </c>
      <c r="D232" s="1">
        <f t="shared" si="17"/>
        <v>3377.8828110158302</v>
      </c>
      <c r="E232" s="1">
        <f t="shared" si="18"/>
        <v>802377.95662465552</v>
      </c>
    </row>
    <row r="233" spans="1:5">
      <c r="A233">
        <f t="shared" si="15"/>
        <v>220</v>
      </c>
      <c r="B233" s="1">
        <f t="shared" si="19"/>
        <v>11691.800830159582</v>
      </c>
      <c r="C233" s="1">
        <f t="shared" si="16"/>
        <v>8348.5593442235167</v>
      </c>
      <c r="D233" s="1">
        <f t="shared" si="17"/>
        <v>3343.2414859360647</v>
      </c>
      <c r="E233" s="1">
        <f t="shared" si="18"/>
        <v>794029.39728043205</v>
      </c>
    </row>
    <row r="234" spans="1:5">
      <c r="A234">
        <f t="shared" si="15"/>
        <v>221</v>
      </c>
      <c r="B234" s="1">
        <f t="shared" si="19"/>
        <v>11691.800830159582</v>
      </c>
      <c r="C234" s="1">
        <f t="shared" si="16"/>
        <v>8383.3450081577812</v>
      </c>
      <c r="D234" s="1">
        <f t="shared" si="17"/>
        <v>3308.4558220018002</v>
      </c>
      <c r="E234" s="1">
        <f t="shared" si="18"/>
        <v>785646.05227227428</v>
      </c>
    </row>
    <row r="235" spans="1:5">
      <c r="A235">
        <f t="shared" si="15"/>
        <v>222</v>
      </c>
      <c r="B235" s="1">
        <f t="shared" si="19"/>
        <v>11691.800830159582</v>
      </c>
      <c r="C235" s="1">
        <f t="shared" si="16"/>
        <v>8418.2756123584386</v>
      </c>
      <c r="D235" s="1">
        <f t="shared" si="17"/>
        <v>3273.5252178011428</v>
      </c>
      <c r="E235" s="1">
        <f t="shared" si="18"/>
        <v>777227.77665991581</v>
      </c>
    </row>
    <row r="236" spans="1:5">
      <c r="A236">
        <f t="shared" si="15"/>
        <v>223</v>
      </c>
      <c r="B236" s="1">
        <f t="shared" si="19"/>
        <v>11691.800830159582</v>
      </c>
      <c r="C236" s="1">
        <f t="shared" si="16"/>
        <v>8453.3517607432659</v>
      </c>
      <c r="D236" s="1">
        <f t="shared" si="17"/>
        <v>3238.449069416316</v>
      </c>
      <c r="E236" s="1">
        <f t="shared" si="18"/>
        <v>768774.4248991725</v>
      </c>
    </row>
    <row r="237" spans="1:5">
      <c r="A237">
        <f t="shared" si="15"/>
        <v>224</v>
      </c>
      <c r="B237" s="1">
        <f t="shared" si="19"/>
        <v>11691.800830159582</v>
      </c>
      <c r="C237" s="1">
        <f t="shared" si="16"/>
        <v>8488.5740597463628</v>
      </c>
      <c r="D237" s="1">
        <f t="shared" si="17"/>
        <v>3203.2267704132187</v>
      </c>
      <c r="E237" s="1">
        <f t="shared" si="18"/>
        <v>760285.85083942616</v>
      </c>
    </row>
    <row r="238" spans="1:5">
      <c r="A238">
        <f t="shared" si="15"/>
        <v>225</v>
      </c>
      <c r="B238" s="1">
        <f t="shared" si="19"/>
        <v>11691.800830159582</v>
      </c>
      <c r="C238" s="1">
        <f t="shared" si="16"/>
        <v>8523.9431183286397</v>
      </c>
      <c r="D238" s="1">
        <f t="shared" si="17"/>
        <v>3167.8577118309422</v>
      </c>
      <c r="E238" s="1">
        <f t="shared" si="18"/>
        <v>751761.90772109746</v>
      </c>
    </row>
    <row r="239" spans="1:5">
      <c r="A239">
        <f t="shared" si="15"/>
        <v>226</v>
      </c>
      <c r="B239" s="1">
        <f t="shared" si="19"/>
        <v>11691.800830159582</v>
      </c>
      <c r="C239" s="1">
        <f t="shared" si="16"/>
        <v>8559.4595479883428</v>
      </c>
      <c r="D239" s="1">
        <f t="shared" si="17"/>
        <v>3132.3412821712395</v>
      </c>
      <c r="E239" s="1">
        <f t="shared" si="18"/>
        <v>743202.44817310909</v>
      </c>
    </row>
    <row r="240" spans="1:5">
      <c r="A240">
        <f t="shared" si="15"/>
        <v>227</v>
      </c>
      <c r="B240" s="1">
        <f t="shared" si="19"/>
        <v>11691.800830159582</v>
      </c>
      <c r="C240" s="1">
        <f t="shared" si="16"/>
        <v>8595.1239627716277</v>
      </c>
      <c r="D240" s="1">
        <f t="shared" si="17"/>
        <v>3096.6768673879546</v>
      </c>
      <c r="E240" s="1">
        <f t="shared" si="18"/>
        <v>734607.32421033748</v>
      </c>
    </row>
    <row r="241" spans="1:5">
      <c r="A241">
        <f t="shared" si="15"/>
        <v>228</v>
      </c>
      <c r="B241" s="1">
        <f t="shared" si="19"/>
        <v>11691.800830159582</v>
      </c>
      <c r="C241" s="1">
        <f t="shared" si="16"/>
        <v>8630.9369792831749</v>
      </c>
      <c r="D241" s="1">
        <f t="shared" si="17"/>
        <v>3060.8638508764061</v>
      </c>
      <c r="E241" s="1">
        <f t="shared" si="18"/>
        <v>725976.38723105425</v>
      </c>
    </row>
    <row r="242" spans="1:5">
      <c r="A242">
        <f t="shared" si="15"/>
        <v>229</v>
      </c>
      <c r="B242" s="1">
        <f t="shared" si="19"/>
        <v>11691.800830159582</v>
      </c>
      <c r="C242" s="1">
        <f t="shared" si="16"/>
        <v>8666.8992166968565</v>
      </c>
      <c r="D242" s="1">
        <f t="shared" si="17"/>
        <v>3024.9016134627259</v>
      </c>
      <c r="E242" s="1">
        <f t="shared" si="18"/>
        <v>717309.4880143574</v>
      </c>
    </row>
    <row r="243" spans="1:5">
      <c r="A243">
        <f t="shared" ref="A243:A263" si="20">IF(($B$7*$B$8&gt;A242),IF(($B$7*$B$8)=A242,"",A242+1),"")</f>
        <v>230</v>
      </c>
      <c r="B243" s="1">
        <f t="shared" si="19"/>
        <v>11691.800830159582</v>
      </c>
      <c r="C243" s="1">
        <f t="shared" ref="C243:C263" si="21">IF(A243="","",B243-D243)</f>
        <v>8703.0112967664263</v>
      </c>
      <c r="D243" s="1">
        <f t="shared" ref="D243:D263" si="22">IF(A243="","",(E242*($B$6/$B$8)))</f>
        <v>2988.7895333931556</v>
      </c>
      <c r="E243" s="1">
        <f t="shared" ref="E243:E263" si="23">IF(A243="","",E242-C243)</f>
        <v>708606.47671759094</v>
      </c>
    </row>
    <row r="244" spans="1:5">
      <c r="A244">
        <f t="shared" si="20"/>
        <v>231</v>
      </c>
      <c r="B244" s="1">
        <f t="shared" si="19"/>
        <v>11691.800830159582</v>
      </c>
      <c r="C244" s="1">
        <f t="shared" si="21"/>
        <v>8739.2738438362867</v>
      </c>
      <c r="D244" s="1">
        <f t="shared" si="22"/>
        <v>2952.5269863232957</v>
      </c>
      <c r="E244" s="1">
        <f t="shared" si="23"/>
        <v>699867.20287375466</v>
      </c>
    </row>
    <row r="245" spans="1:5">
      <c r="A245">
        <f t="shared" si="20"/>
        <v>232</v>
      </c>
      <c r="B245" s="1">
        <f t="shared" si="19"/>
        <v>11691.800830159582</v>
      </c>
      <c r="C245" s="1">
        <f t="shared" si="21"/>
        <v>8775.6874848522712</v>
      </c>
      <c r="D245" s="1">
        <f t="shared" si="22"/>
        <v>2916.1133453073112</v>
      </c>
      <c r="E245" s="1">
        <f t="shared" si="23"/>
        <v>691091.51538890239</v>
      </c>
    </row>
    <row r="246" spans="1:5">
      <c r="A246">
        <f t="shared" si="20"/>
        <v>233</v>
      </c>
      <c r="B246" s="1">
        <f t="shared" si="19"/>
        <v>11691.800830159582</v>
      </c>
      <c r="C246" s="1">
        <f t="shared" si="21"/>
        <v>8812.2528493724894</v>
      </c>
      <c r="D246" s="1">
        <f t="shared" si="22"/>
        <v>2879.5479807870934</v>
      </c>
      <c r="E246" s="1">
        <f t="shared" si="23"/>
        <v>682279.26253952994</v>
      </c>
    </row>
    <row r="247" spans="1:5">
      <c r="A247">
        <f t="shared" si="20"/>
        <v>234</v>
      </c>
      <c r="B247" s="1">
        <f t="shared" si="19"/>
        <v>11691.800830159582</v>
      </c>
      <c r="C247" s="1">
        <f t="shared" si="21"/>
        <v>8848.9705695782068</v>
      </c>
      <c r="D247" s="1">
        <f t="shared" si="22"/>
        <v>2842.8302605813747</v>
      </c>
      <c r="E247" s="1">
        <f t="shared" si="23"/>
        <v>673430.29196995171</v>
      </c>
    </row>
    <row r="248" spans="1:5">
      <c r="A248">
        <f t="shared" si="20"/>
        <v>235</v>
      </c>
      <c r="B248" s="1">
        <f t="shared" si="19"/>
        <v>11691.800830159582</v>
      </c>
      <c r="C248" s="1">
        <f t="shared" si="21"/>
        <v>8885.8412802847834</v>
      </c>
      <c r="D248" s="1">
        <f t="shared" si="22"/>
        <v>2805.9595498747985</v>
      </c>
      <c r="E248" s="1">
        <f t="shared" si="23"/>
        <v>664544.4506896669</v>
      </c>
    </row>
    <row r="249" spans="1:5">
      <c r="A249">
        <f t="shared" si="20"/>
        <v>236</v>
      </c>
      <c r="B249" s="1">
        <f t="shared" si="19"/>
        <v>11691.800830159582</v>
      </c>
      <c r="C249" s="1">
        <f t="shared" si="21"/>
        <v>8922.8656189526373</v>
      </c>
      <c r="D249" s="1">
        <f t="shared" si="22"/>
        <v>2768.9352112069455</v>
      </c>
      <c r="E249" s="1">
        <f t="shared" si="23"/>
        <v>655621.58507071424</v>
      </c>
    </row>
    <row r="250" spans="1:5">
      <c r="A250">
        <f t="shared" si="20"/>
        <v>237</v>
      </c>
      <c r="B250" s="1">
        <f t="shared" si="19"/>
        <v>11691.800830159582</v>
      </c>
      <c r="C250" s="1">
        <f t="shared" si="21"/>
        <v>8960.0442256982715</v>
      </c>
      <c r="D250" s="1">
        <f t="shared" si="22"/>
        <v>2731.7566044613095</v>
      </c>
      <c r="E250" s="1">
        <f t="shared" si="23"/>
        <v>646661.54084501602</v>
      </c>
    </row>
    <row r="251" spans="1:5">
      <c r="A251">
        <f t="shared" si="20"/>
        <v>238</v>
      </c>
      <c r="B251" s="1">
        <f t="shared" si="19"/>
        <v>11691.800830159582</v>
      </c>
      <c r="C251" s="1">
        <f t="shared" si="21"/>
        <v>8997.3777433053474</v>
      </c>
      <c r="D251" s="1">
        <f t="shared" si="22"/>
        <v>2694.4230868542336</v>
      </c>
      <c r="E251" s="1">
        <f t="shared" si="23"/>
        <v>637664.16310171061</v>
      </c>
    </row>
    <row r="252" spans="1:5">
      <c r="A252">
        <f t="shared" si="20"/>
        <v>239</v>
      </c>
      <c r="B252" s="1">
        <f t="shared" si="19"/>
        <v>11691.800830159582</v>
      </c>
      <c r="C252" s="1">
        <f t="shared" si="21"/>
        <v>9034.8668172357866</v>
      </c>
      <c r="D252" s="1">
        <f t="shared" si="22"/>
        <v>2656.9340129237944</v>
      </c>
      <c r="E252" s="1">
        <f t="shared" si="23"/>
        <v>628629.29628447478</v>
      </c>
    </row>
    <row r="253" spans="1:5">
      <c r="A253">
        <f t="shared" si="20"/>
        <v>240</v>
      </c>
      <c r="B253" s="1">
        <f t="shared" si="19"/>
        <v>11691.800830159582</v>
      </c>
      <c r="C253" s="1">
        <f t="shared" si="21"/>
        <v>9072.5120956409373</v>
      </c>
      <c r="D253" s="1">
        <f t="shared" si="22"/>
        <v>2619.288734518645</v>
      </c>
      <c r="E253" s="1">
        <f t="shared" si="23"/>
        <v>619556.78418883379</v>
      </c>
    </row>
    <row r="254" spans="1:5">
      <c r="A254">
        <f t="shared" si="20"/>
        <v>241</v>
      </c>
      <c r="B254" s="1">
        <f t="shared" si="19"/>
        <v>11691.800830159582</v>
      </c>
      <c r="C254" s="1">
        <f t="shared" si="21"/>
        <v>9110.3142293727742</v>
      </c>
      <c r="D254" s="1">
        <f t="shared" si="22"/>
        <v>2581.4866007868072</v>
      </c>
      <c r="E254" s="1">
        <f t="shared" si="23"/>
        <v>610446.46995946101</v>
      </c>
    </row>
    <row r="255" spans="1:5">
      <c r="A255">
        <f t="shared" si="20"/>
        <v>242</v>
      </c>
      <c r="B255" s="1">
        <f t="shared" si="19"/>
        <v>11691.800830159582</v>
      </c>
      <c r="C255" s="1">
        <f t="shared" si="21"/>
        <v>9148.2738719951612</v>
      </c>
      <c r="D255" s="1">
        <f t="shared" si="22"/>
        <v>2543.5269581644206</v>
      </c>
      <c r="E255" s="1">
        <f t="shared" si="23"/>
        <v>601298.19608746585</v>
      </c>
    </row>
    <row r="256" spans="1:5">
      <c r="A256">
        <f t="shared" si="20"/>
        <v>243</v>
      </c>
      <c r="B256" s="1">
        <f t="shared" si="19"/>
        <v>11691.800830159582</v>
      </c>
      <c r="C256" s="1">
        <f t="shared" si="21"/>
        <v>9186.3916797951406</v>
      </c>
      <c r="D256" s="1">
        <f t="shared" si="22"/>
        <v>2505.4091503644408</v>
      </c>
      <c r="E256" s="1">
        <f t="shared" si="23"/>
        <v>592111.80440767074</v>
      </c>
    </row>
    <row r="257" spans="1:5">
      <c r="A257">
        <f t="shared" si="20"/>
        <v>244</v>
      </c>
      <c r="B257" s="1">
        <f t="shared" si="19"/>
        <v>11691.800830159582</v>
      </c>
      <c r="C257" s="1">
        <f t="shared" si="21"/>
        <v>9224.6683117942866</v>
      </c>
      <c r="D257" s="1">
        <f t="shared" si="22"/>
        <v>2467.1325183652948</v>
      </c>
      <c r="E257" s="1">
        <f t="shared" si="23"/>
        <v>582887.13609587646</v>
      </c>
    </row>
    <row r="258" spans="1:5">
      <c r="A258">
        <f t="shared" si="20"/>
        <v>245</v>
      </c>
      <c r="B258" s="1">
        <f t="shared" si="19"/>
        <v>11691.800830159582</v>
      </c>
      <c r="C258" s="1">
        <f t="shared" si="21"/>
        <v>9263.1044297600965</v>
      </c>
      <c r="D258" s="1">
        <f t="shared" si="22"/>
        <v>2428.6964003994854</v>
      </c>
      <c r="E258" s="1">
        <f t="shared" si="23"/>
        <v>573624.03166611632</v>
      </c>
    </row>
    <row r="259" spans="1:5">
      <c r="A259">
        <f t="shared" si="20"/>
        <v>246</v>
      </c>
      <c r="B259" s="1">
        <f t="shared" si="19"/>
        <v>11691.800830159582</v>
      </c>
      <c r="C259" s="1">
        <f t="shared" si="21"/>
        <v>9301.7006982174316</v>
      </c>
      <c r="D259" s="1">
        <f t="shared" si="22"/>
        <v>2390.1001319421512</v>
      </c>
      <c r="E259" s="1">
        <f t="shared" si="23"/>
        <v>564322.33096789895</v>
      </c>
    </row>
    <row r="260" spans="1:5">
      <c r="A260">
        <f t="shared" si="20"/>
        <v>247</v>
      </c>
      <c r="B260" s="1">
        <f t="shared" si="19"/>
        <v>11691.800830159582</v>
      </c>
      <c r="C260" s="1">
        <f t="shared" si="21"/>
        <v>9340.4577844600026</v>
      </c>
      <c r="D260" s="1">
        <f t="shared" si="22"/>
        <v>2351.3430456995789</v>
      </c>
      <c r="E260" s="1">
        <f t="shared" si="23"/>
        <v>554981.8731834389</v>
      </c>
    </row>
    <row r="261" spans="1:5">
      <c r="A261">
        <f t="shared" si="20"/>
        <v>248</v>
      </c>
      <c r="B261" s="1">
        <f t="shared" si="19"/>
        <v>11691.800830159582</v>
      </c>
      <c r="C261" s="1">
        <f t="shared" si="21"/>
        <v>9379.3763585619199</v>
      </c>
      <c r="D261" s="1">
        <f t="shared" si="22"/>
        <v>2312.424471597662</v>
      </c>
      <c r="E261" s="1">
        <f t="shared" si="23"/>
        <v>545602.49682487699</v>
      </c>
    </row>
    <row r="262" spans="1:5">
      <c r="A262">
        <f t="shared" si="20"/>
        <v>249</v>
      </c>
      <c r="B262" s="1">
        <f t="shared" si="19"/>
        <v>11691.800830159582</v>
      </c>
      <c r="C262" s="1">
        <f t="shared" si="21"/>
        <v>9418.457093389261</v>
      </c>
      <c r="D262" s="1">
        <f t="shared" si="22"/>
        <v>2273.3437367703209</v>
      </c>
      <c r="E262" s="1">
        <f t="shared" si="23"/>
        <v>536184.03973148775</v>
      </c>
    </row>
    <row r="263" spans="1:5">
      <c r="A263">
        <f t="shared" si="20"/>
        <v>250</v>
      </c>
      <c r="B263" s="1">
        <f t="shared" si="19"/>
        <v>11691.800830159582</v>
      </c>
      <c r="C263" s="1">
        <f t="shared" si="21"/>
        <v>9457.7006646117152</v>
      </c>
      <c r="D263" s="1">
        <f t="shared" si="22"/>
        <v>2234.1001655478658</v>
      </c>
      <c r="E263" s="1">
        <f t="shared" si="23"/>
        <v>526726.33906687598</v>
      </c>
    </row>
    <row r="264" spans="1:5">
      <c r="A264">
        <f t="shared" ref="A264:A327" si="24">IF(($B$7*$B$8&gt;A263),IF(($B$7*$B$8)=A263,"",A263+1),"")</f>
        <v>251</v>
      </c>
      <c r="B264" s="1">
        <f t="shared" si="19"/>
        <v>11691.800830159582</v>
      </c>
      <c r="C264" s="1">
        <f t="shared" ref="C264:C327" si="25">IF(A264="","",B264-D264)</f>
        <v>9497.1077507142654</v>
      </c>
      <c r="D264" s="1">
        <f t="shared" ref="D264:D327" si="26">IF(A264="","",(E263*($B$6/$B$8)))</f>
        <v>2194.6930794453165</v>
      </c>
      <c r="E264" s="1">
        <f t="shared" ref="E264:E327" si="27">IF(A264="","",E263-C264)</f>
        <v>517229.23131616169</v>
      </c>
    </row>
    <row r="265" spans="1:5">
      <c r="A265">
        <f t="shared" si="24"/>
        <v>252</v>
      </c>
      <c r="B265" s="1">
        <f t="shared" si="19"/>
        <v>11691.800830159582</v>
      </c>
      <c r="C265" s="1">
        <f t="shared" si="25"/>
        <v>9536.6790330089079</v>
      </c>
      <c r="D265" s="1">
        <f t="shared" si="26"/>
        <v>2155.1217971506735</v>
      </c>
      <c r="E265" s="1">
        <f t="shared" si="27"/>
        <v>507692.55228315276</v>
      </c>
    </row>
    <row r="266" spans="1:5">
      <c r="A266">
        <f t="shared" si="24"/>
        <v>253</v>
      </c>
      <c r="B266" s="1">
        <f t="shared" si="19"/>
        <v>11691.800830159582</v>
      </c>
      <c r="C266" s="1">
        <f t="shared" si="25"/>
        <v>9576.4151956464448</v>
      </c>
      <c r="D266" s="1">
        <f t="shared" si="26"/>
        <v>2115.3856345131367</v>
      </c>
      <c r="E266" s="1">
        <f t="shared" si="27"/>
        <v>498116.1370875063</v>
      </c>
    </row>
    <row r="267" spans="1:5">
      <c r="A267">
        <f t="shared" si="24"/>
        <v>254</v>
      </c>
      <c r="B267" s="1">
        <f t="shared" si="19"/>
        <v>11691.800830159582</v>
      </c>
      <c r="C267" s="1">
        <f t="shared" si="25"/>
        <v>9616.3169256283054</v>
      </c>
      <c r="D267" s="1">
        <f t="shared" si="26"/>
        <v>2075.483904531276</v>
      </c>
      <c r="E267" s="1">
        <f t="shared" si="27"/>
        <v>488499.82016187801</v>
      </c>
    </row>
    <row r="268" spans="1:5">
      <c r="A268">
        <f t="shared" si="24"/>
        <v>255</v>
      </c>
      <c r="B268" s="1">
        <f t="shared" si="19"/>
        <v>11691.800830159582</v>
      </c>
      <c r="C268" s="1">
        <f t="shared" si="25"/>
        <v>9656.3849128184229</v>
      </c>
      <c r="D268" s="1">
        <f t="shared" si="26"/>
        <v>2035.4159173411583</v>
      </c>
      <c r="E268" s="1">
        <f t="shared" si="27"/>
        <v>478843.43524905958</v>
      </c>
    </row>
    <row r="269" spans="1:5">
      <c r="A269">
        <f t="shared" si="24"/>
        <v>256</v>
      </c>
      <c r="B269" s="1">
        <f t="shared" si="19"/>
        <v>11691.800830159582</v>
      </c>
      <c r="C269" s="1">
        <f t="shared" si="25"/>
        <v>9696.6198499551665</v>
      </c>
      <c r="D269" s="1">
        <f t="shared" si="26"/>
        <v>1995.1809802044149</v>
      </c>
      <c r="E269" s="1">
        <f t="shared" si="27"/>
        <v>469146.81539910444</v>
      </c>
    </row>
    <row r="270" spans="1:5">
      <c r="A270">
        <f t="shared" si="24"/>
        <v>257</v>
      </c>
      <c r="B270" s="1">
        <f t="shared" si="19"/>
        <v>11691.800830159582</v>
      </c>
      <c r="C270" s="1">
        <f t="shared" si="25"/>
        <v>9737.0224326633142</v>
      </c>
      <c r="D270" s="1">
        <f t="shared" si="26"/>
        <v>1954.7783974962686</v>
      </c>
      <c r="E270" s="1">
        <f t="shared" si="27"/>
        <v>459409.79296644113</v>
      </c>
    </row>
    <row r="271" spans="1:5">
      <c r="A271">
        <f t="shared" si="24"/>
        <v>258</v>
      </c>
      <c r="B271" s="1">
        <f t="shared" si="19"/>
        <v>11691.800830159582</v>
      </c>
      <c r="C271" s="1">
        <f t="shared" si="25"/>
        <v>9777.5933594660764</v>
      </c>
      <c r="D271" s="1">
        <f t="shared" si="26"/>
        <v>1914.2074706935048</v>
      </c>
      <c r="E271" s="1">
        <f t="shared" si="27"/>
        <v>449632.19960697507</v>
      </c>
    </row>
    <row r="272" spans="1:5">
      <c r="A272">
        <f t="shared" si="24"/>
        <v>259</v>
      </c>
      <c r="B272" s="1">
        <f t="shared" ref="B272:B335" si="28">IF(A272="","",$B$14)</f>
        <v>11691.800830159582</v>
      </c>
      <c r="C272" s="1">
        <f t="shared" si="25"/>
        <v>9818.3333317971865</v>
      </c>
      <c r="D272" s="1">
        <f t="shared" si="26"/>
        <v>1873.4674983623961</v>
      </c>
      <c r="E272" s="1">
        <f t="shared" si="27"/>
        <v>439813.86627517786</v>
      </c>
    </row>
    <row r="273" spans="1:5">
      <c r="A273">
        <f t="shared" si="24"/>
        <v>260</v>
      </c>
      <c r="B273" s="1">
        <f t="shared" si="28"/>
        <v>11691.800830159582</v>
      </c>
      <c r="C273" s="1">
        <f t="shared" si="25"/>
        <v>9859.2430540130081</v>
      </c>
      <c r="D273" s="1">
        <f t="shared" si="26"/>
        <v>1832.5577761465745</v>
      </c>
      <c r="E273" s="1">
        <f t="shared" si="27"/>
        <v>429954.62322116486</v>
      </c>
    </row>
    <row r="274" spans="1:5">
      <c r="A274">
        <f t="shared" si="24"/>
        <v>261</v>
      </c>
      <c r="B274" s="1">
        <f t="shared" si="28"/>
        <v>11691.800830159582</v>
      </c>
      <c r="C274" s="1">
        <f t="shared" si="25"/>
        <v>9900.3232334047279</v>
      </c>
      <c r="D274" s="1">
        <f t="shared" si="26"/>
        <v>1791.4775967548535</v>
      </c>
      <c r="E274" s="1">
        <f t="shared" si="27"/>
        <v>420054.29998776014</v>
      </c>
    </row>
    <row r="275" spans="1:5">
      <c r="A275">
        <f t="shared" si="24"/>
        <v>262</v>
      </c>
      <c r="B275" s="1">
        <f t="shared" si="28"/>
        <v>11691.800830159582</v>
      </c>
      <c r="C275" s="1">
        <f t="shared" si="25"/>
        <v>9941.5745802105812</v>
      </c>
      <c r="D275" s="1">
        <f t="shared" si="26"/>
        <v>1750.2262499490005</v>
      </c>
      <c r="E275" s="1">
        <f t="shared" si="27"/>
        <v>410112.72540754953</v>
      </c>
    </row>
    <row r="276" spans="1:5">
      <c r="A276">
        <f t="shared" si="24"/>
        <v>263</v>
      </c>
      <c r="B276" s="1">
        <f t="shared" si="28"/>
        <v>11691.800830159582</v>
      </c>
      <c r="C276" s="1">
        <f t="shared" si="25"/>
        <v>9982.9978076281259</v>
      </c>
      <c r="D276" s="1">
        <f t="shared" si="26"/>
        <v>1708.8030225314562</v>
      </c>
      <c r="E276" s="1">
        <f t="shared" si="27"/>
        <v>400129.7275999214</v>
      </c>
    </row>
    <row r="277" spans="1:5">
      <c r="A277">
        <f t="shared" si="24"/>
        <v>264</v>
      </c>
      <c r="B277" s="1">
        <f t="shared" si="28"/>
        <v>11691.800830159582</v>
      </c>
      <c r="C277" s="1">
        <f t="shared" si="25"/>
        <v>10024.593631826576</v>
      </c>
      <c r="D277" s="1">
        <f t="shared" si="26"/>
        <v>1667.2071983330059</v>
      </c>
      <c r="E277" s="1">
        <f t="shared" si="27"/>
        <v>390105.13396809483</v>
      </c>
    </row>
    <row r="278" spans="1:5">
      <c r="A278">
        <f t="shared" si="24"/>
        <v>265</v>
      </c>
      <c r="B278" s="1">
        <f t="shared" si="28"/>
        <v>11691.800830159582</v>
      </c>
      <c r="C278" s="1">
        <f t="shared" si="25"/>
        <v>10066.362771959186</v>
      </c>
      <c r="D278" s="1">
        <f t="shared" si="26"/>
        <v>1625.4380582003951</v>
      </c>
      <c r="E278" s="1">
        <f t="shared" si="27"/>
        <v>380038.77119613567</v>
      </c>
    </row>
    <row r="279" spans="1:5">
      <c r="A279">
        <f t="shared" si="24"/>
        <v>266</v>
      </c>
      <c r="B279" s="1">
        <f t="shared" si="28"/>
        <v>11691.800830159582</v>
      </c>
      <c r="C279" s="1">
        <f t="shared" si="25"/>
        <v>10108.305950175683</v>
      </c>
      <c r="D279" s="1">
        <f t="shared" si="26"/>
        <v>1583.4948799838985</v>
      </c>
      <c r="E279" s="1">
        <f t="shared" si="27"/>
        <v>369930.46524595999</v>
      </c>
    </row>
    <row r="280" spans="1:5">
      <c r="A280">
        <f t="shared" si="24"/>
        <v>267</v>
      </c>
      <c r="B280" s="1">
        <f t="shared" si="28"/>
        <v>11691.800830159582</v>
      </c>
      <c r="C280" s="1">
        <f t="shared" si="25"/>
        <v>10150.423891634749</v>
      </c>
      <c r="D280" s="1">
        <f t="shared" si="26"/>
        <v>1541.3769385248333</v>
      </c>
      <c r="E280" s="1">
        <f t="shared" si="27"/>
        <v>359780.04135432525</v>
      </c>
    </row>
    <row r="281" spans="1:5">
      <c r="A281">
        <f t="shared" si="24"/>
        <v>268</v>
      </c>
      <c r="B281" s="1">
        <f t="shared" si="28"/>
        <v>11691.800830159582</v>
      </c>
      <c r="C281" s="1">
        <f t="shared" si="25"/>
        <v>10192.71732451656</v>
      </c>
      <c r="D281" s="1">
        <f t="shared" si="26"/>
        <v>1499.0835056430219</v>
      </c>
      <c r="E281" s="1">
        <f t="shared" si="27"/>
        <v>349587.32402980869</v>
      </c>
    </row>
    <row r="282" spans="1:5">
      <c r="A282">
        <f t="shared" si="24"/>
        <v>269</v>
      </c>
      <c r="B282" s="1">
        <f t="shared" si="28"/>
        <v>11691.800830159582</v>
      </c>
      <c r="C282" s="1">
        <f t="shared" si="25"/>
        <v>10235.18698003538</v>
      </c>
      <c r="D282" s="1">
        <f t="shared" si="26"/>
        <v>1456.6138501242028</v>
      </c>
      <c r="E282" s="1">
        <f t="shared" si="27"/>
        <v>339352.1370497733</v>
      </c>
    </row>
    <row r="283" spans="1:5">
      <c r="A283">
        <f t="shared" si="24"/>
        <v>270</v>
      </c>
      <c r="B283" s="1">
        <f t="shared" si="28"/>
        <v>11691.800830159582</v>
      </c>
      <c r="C283" s="1">
        <f t="shared" si="25"/>
        <v>10277.833592452193</v>
      </c>
      <c r="D283" s="1">
        <f t="shared" si="26"/>
        <v>1413.9672377073887</v>
      </c>
      <c r="E283" s="1">
        <f t="shared" si="27"/>
        <v>329074.30345732113</v>
      </c>
    </row>
    <row r="284" spans="1:5">
      <c r="A284">
        <f t="shared" si="24"/>
        <v>271</v>
      </c>
      <c r="B284" s="1">
        <f t="shared" si="28"/>
        <v>11691.800830159582</v>
      </c>
      <c r="C284" s="1">
        <f t="shared" si="25"/>
        <v>10320.657899087411</v>
      </c>
      <c r="D284" s="1">
        <f t="shared" si="26"/>
        <v>1371.1429310721715</v>
      </c>
      <c r="E284" s="1">
        <f t="shared" si="27"/>
        <v>318753.64555823372</v>
      </c>
    </row>
    <row r="285" spans="1:5">
      <c r="A285">
        <f t="shared" si="24"/>
        <v>272</v>
      </c>
      <c r="B285" s="1">
        <f t="shared" si="28"/>
        <v>11691.800830159582</v>
      </c>
      <c r="C285" s="1">
        <f t="shared" si="25"/>
        <v>10363.660640333608</v>
      </c>
      <c r="D285" s="1">
        <f t="shared" si="26"/>
        <v>1328.1401898259737</v>
      </c>
      <c r="E285" s="1">
        <f t="shared" si="27"/>
        <v>308389.98491790012</v>
      </c>
    </row>
    <row r="286" spans="1:5">
      <c r="A286">
        <f t="shared" si="24"/>
        <v>273</v>
      </c>
      <c r="B286" s="1">
        <f t="shared" si="28"/>
        <v>11691.800830159582</v>
      </c>
      <c r="C286" s="1">
        <f t="shared" si="25"/>
        <v>10406.842559668332</v>
      </c>
      <c r="D286" s="1">
        <f t="shared" si="26"/>
        <v>1284.9582704912505</v>
      </c>
      <c r="E286" s="1">
        <f t="shared" si="27"/>
        <v>297983.14235823177</v>
      </c>
    </row>
    <row r="287" spans="1:5">
      <c r="A287">
        <f t="shared" si="24"/>
        <v>274</v>
      </c>
      <c r="B287" s="1">
        <f t="shared" si="28"/>
        <v>11691.800830159582</v>
      </c>
      <c r="C287" s="1">
        <f t="shared" si="25"/>
        <v>10450.20440366695</v>
      </c>
      <c r="D287" s="1">
        <f t="shared" si="26"/>
        <v>1241.5964264926324</v>
      </c>
      <c r="E287" s="1">
        <f t="shared" si="27"/>
        <v>287532.93795456481</v>
      </c>
    </row>
    <row r="288" spans="1:5">
      <c r="A288">
        <f t="shared" si="24"/>
        <v>275</v>
      </c>
      <c r="B288" s="1">
        <f t="shared" si="28"/>
        <v>11691.800830159582</v>
      </c>
      <c r="C288" s="1">
        <f t="shared" si="25"/>
        <v>10493.746922015562</v>
      </c>
      <c r="D288" s="1">
        <f t="shared" si="26"/>
        <v>1198.0539081440199</v>
      </c>
      <c r="E288" s="1">
        <f t="shared" si="27"/>
        <v>277039.19103254925</v>
      </c>
    </row>
    <row r="289" spans="1:5">
      <c r="A289">
        <f t="shared" si="24"/>
        <v>276</v>
      </c>
      <c r="B289" s="1">
        <f t="shared" si="28"/>
        <v>11691.800830159582</v>
      </c>
      <c r="C289" s="1">
        <f t="shared" si="25"/>
        <v>10537.47086752396</v>
      </c>
      <c r="D289" s="1">
        <f t="shared" si="26"/>
        <v>1154.3299626356218</v>
      </c>
      <c r="E289" s="1">
        <f t="shared" si="27"/>
        <v>266501.72016502527</v>
      </c>
    </row>
    <row r="290" spans="1:5">
      <c r="A290">
        <f t="shared" si="24"/>
        <v>277</v>
      </c>
      <c r="B290" s="1">
        <f t="shared" si="28"/>
        <v>11691.800830159582</v>
      </c>
      <c r="C290" s="1">
        <f t="shared" si="25"/>
        <v>10581.376996138642</v>
      </c>
      <c r="D290" s="1">
        <f t="shared" si="26"/>
        <v>1110.4238340209386</v>
      </c>
      <c r="E290" s="1">
        <f t="shared" si="27"/>
        <v>255920.34316888661</v>
      </c>
    </row>
    <row r="291" spans="1:5">
      <c r="A291">
        <f t="shared" si="24"/>
        <v>278</v>
      </c>
      <c r="B291" s="1">
        <f t="shared" si="28"/>
        <v>11691.800830159582</v>
      </c>
      <c r="C291" s="1">
        <f t="shared" si="25"/>
        <v>10625.466066955887</v>
      </c>
      <c r="D291" s="1">
        <f t="shared" si="26"/>
        <v>1066.3347632036941</v>
      </c>
      <c r="E291" s="1">
        <f t="shared" si="27"/>
        <v>245294.87710193073</v>
      </c>
    </row>
    <row r="292" spans="1:5">
      <c r="A292">
        <f t="shared" si="24"/>
        <v>279</v>
      </c>
      <c r="B292" s="1">
        <f t="shared" si="28"/>
        <v>11691.800830159582</v>
      </c>
      <c r="C292" s="1">
        <f t="shared" si="25"/>
        <v>10669.73884223487</v>
      </c>
      <c r="D292" s="1">
        <f t="shared" si="26"/>
        <v>1022.0619879247114</v>
      </c>
      <c r="E292" s="1">
        <f t="shared" si="27"/>
        <v>234625.13825969587</v>
      </c>
    </row>
    <row r="293" spans="1:5">
      <c r="A293">
        <f t="shared" si="24"/>
        <v>280</v>
      </c>
      <c r="B293" s="1">
        <f t="shared" si="28"/>
        <v>11691.800830159582</v>
      </c>
      <c r="C293" s="1">
        <f t="shared" si="25"/>
        <v>10714.19608741085</v>
      </c>
      <c r="D293" s="1">
        <f t="shared" si="26"/>
        <v>977.60474274873275</v>
      </c>
      <c r="E293" s="1">
        <f t="shared" si="27"/>
        <v>223910.94217228502</v>
      </c>
    </row>
    <row r="294" spans="1:5">
      <c r="A294">
        <f t="shared" si="24"/>
        <v>281</v>
      </c>
      <c r="B294" s="1">
        <f t="shared" si="28"/>
        <v>11691.800830159582</v>
      </c>
      <c r="C294" s="1">
        <f t="shared" si="25"/>
        <v>10758.838571108394</v>
      </c>
      <c r="D294" s="1">
        <f t="shared" si="26"/>
        <v>932.96225905118763</v>
      </c>
      <c r="E294" s="1">
        <f t="shared" si="27"/>
        <v>213152.10360117664</v>
      </c>
    </row>
    <row r="295" spans="1:5">
      <c r="A295">
        <f t="shared" si="24"/>
        <v>282</v>
      </c>
      <c r="B295" s="1">
        <f t="shared" si="28"/>
        <v>11691.800830159582</v>
      </c>
      <c r="C295" s="1">
        <f t="shared" si="25"/>
        <v>10803.667065154679</v>
      </c>
      <c r="D295" s="1">
        <f t="shared" si="26"/>
        <v>888.13376500490267</v>
      </c>
      <c r="E295" s="1">
        <f t="shared" si="27"/>
        <v>202348.43653602197</v>
      </c>
    </row>
    <row r="296" spans="1:5">
      <c r="A296">
        <f t="shared" si="24"/>
        <v>283</v>
      </c>
      <c r="B296" s="1">
        <f t="shared" si="28"/>
        <v>11691.800830159582</v>
      </c>
      <c r="C296" s="1">
        <f t="shared" si="25"/>
        <v>10848.682344592824</v>
      </c>
      <c r="D296" s="1">
        <f t="shared" si="26"/>
        <v>843.11848556675818</v>
      </c>
      <c r="E296" s="1">
        <f t="shared" si="27"/>
        <v>191499.75419142915</v>
      </c>
    </row>
    <row r="297" spans="1:5">
      <c r="A297">
        <f t="shared" si="24"/>
        <v>284</v>
      </c>
      <c r="B297" s="1">
        <f t="shared" si="28"/>
        <v>11691.800830159582</v>
      </c>
      <c r="C297" s="1">
        <f t="shared" si="25"/>
        <v>10893.885187695294</v>
      </c>
      <c r="D297" s="1">
        <f t="shared" si="26"/>
        <v>797.91564246428811</v>
      </c>
      <c r="E297" s="1">
        <f t="shared" si="27"/>
        <v>180605.86900373385</v>
      </c>
    </row>
    <row r="298" spans="1:5">
      <c r="A298">
        <f t="shared" si="24"/>
        <v>285</v>
      </c>
      <c r="B298" s="1">
        <f t="shared" si="28"/>
        <v>11691.800830159582</v>
      </c>
      <c r="C298" s="1">
        <f t="shared" si="25"/>
        <v>10939.276375977357</v>
      </c>
      <c r="D298" s="1">
        <f t="shared" si="26"/>
        <v>752.52445418222442</v>
      </c>
      <c r="E298" s="1">
        <f t="shared" si="27"/>
        <v>169666.5926277565</v>
      </c>
    </row>
    <row r="299" spans="1:5">
      <c r="A299">
        <f t="shared" si="24"/>
        <v>286</v>
      </c>
      <c r="B299" s="1">
        <f t="shared" si="28"/>
        <v>11691.800830159582</v>
      </c>
      <c r="C299" s="1">
        <f t="shared" si="25"/>
        <v>10984.856694210597</v>
      </c>
      <c r="D299" s="1">
        <f t="shared" si="26"/>
        <v>706.94413594898538</v>
      </c>
      <c r="E299" s="1">
        <f t="shared" si="27"/>
        <v>158681.73593354592</v>
      </c>
    </row>
    <row r="300" spans="1:5">
      <c r="A300">
        <f t="shared" si="24"/>
        <v>287</v>
      </c>
      <c r="B300" s="1">
        <f t="shared" si="28"/>
        <v>11691.800830159582</v>
      </c>
      <c r="C300" s="1">
        <f t="shared" si="25"/>
        <v>11030.626930436474</v>
      </c>
      <c r="D300" s="1">
        <f t="shared" si="26"/>
        <v>661.17389972310798</v>
      </c>
      <c r="E300" s="1">
        <f t="shared" si="27"/>
        <v>147651.10900310945</v>
      </c>
    </row>
    <row r="301" spans="1:5">
      <c r="A301">
        <f t="shared" si="24"/>
        <v>288</v>
      </c>
      <c r="B301" s="1">
        <f t="shared" si="28"/>
        <v>11691.800830159582</v>
      </c>
      <c r="C301" s="1">
        <f t="shared" si="25"/>
        <v>11076.58787597996</v>
      </c>
      <c r="D301" s="1">
        <f t="shared" si="26"/>
        <v>615.21295417962267</v>
      </c>
      <c r="E301" s="1">
        <f t="shared" si="27"/>
        <v>136574.5211271295</v>
      </c>
    </row>
    <row r="302" spans="1:5">
      <c r="A302">
        <f t="shared" si="24"/>
        <v>289</v>
      </c>
      <c r="B302" s="1">
        <f t="shared" si="28"/>
        <v>11691.800830159582</v>
      </c>
      <c r="C302" s="1">
        <f t="shared" si="25"/>
        <v>11122.740325463208</v>
      </c>
      <c r="D302" s="1">
        <f t="shared" si="26"/>
        <v>569.06050469637285</v>
      </c>
      <c r="E302" s="1">
        <f t="shared" si="27"/>
        <v>125451.78080166629</v>
      </c>
    </row>
    <row r="303" spans="1:5">
      <c r="A303">
        <f t="shared" si="24"/>
        <v>290</v>
      </c>
      <c r="B303" s="1">
        <f t="shared" si="28"/>
        <v>11691.800830159582</v>
      </c>
      <c r="C303" s="1">
        <f t="shared" si="25"/>
        <v>11169.085076819305</v>
      </c>
      <c r="D303" s="1">
        <f t="shared" si="26"/>
        <v>522.71575334027625</v>
      </c>
      <c r="E303" s="1">
        <f t="shared" si="27"/>
        <v>114282.69572484698</v>
      </c>
    </row>
    <row r="304" spans="1:5">
      <c r="A304">
        <f t="shared" si="24"/>
        <v>291</v>
      </c>
      <c r="B304" s="1">
        <f t="shared" si="28"/>
        <v>11691.800830159582</v>
      </c>
      <c r="C304" s="1">
        <f t="shared" si="25"/>
        <v>11215.622931306052</v>
      </c>
      <c r="D304" s="1">
        <f t="shared" si="26"/>
        <v>476.17789885352909</v>
      </c>
      <c r="E304" s="1">
        <f t="shared" si="27"/>
        <v>103067.07279354094</v>
      </c>
    </row>
    <row r="305" spans="1:5">
      <c r="A305">
        <f t="shared" si="24"/>
        <v>292</v>
      </c>
      <c r="B305" s="1">
        <f t="shared" si="28"/>
        <v>11691.800830159582</v>
      </c>
      <c r="C305" s="1">
        <f t="shared" si="25"/>
        <v>11262.354693519828</v>
      </c>
      <c r="D305" s="1">
        <f t="shared" si="26"/>
        <v>429.44613663975389</v>
      </c>
      <c r="E305" s="1">
        <f t="shared" si="27"/>
        <v>91804.718100021113</v>
      </c>
    </row>
    <row r="306" spans="1:5">
      <c r="A306">
        <f t="shared" si="24"/>
        <v>293</v>
      </c>
      <c r="B306" s="1">
        <f t="shared" si="28"/>
        <v>11691.800830159582</v>
      </c>
      <c r="C306" s="1">
        <f t="shared" si="25"/>
        <v>11309.281171409493</v>
      </c>
      <c r="D306" s="1">
        <f t="shared" si="26"/>
        <v>382.51965875008796</v>
      </c>
      <c r="E306" s="1">
        <f t="shared" si="27"/>
        <v>80495.436928611627</v>
      </c>
    </row>
    <row r="307" spans="1:5">
      <c r="A307">
        <f t="shared" si="24"/>
        <v>294</v>
      </c>
      <c r="B307" s="1">
        <f t="shared" si="28"/>
        <v>11691.800830159582</v>
      </c>
      <c r="C307" s="1">
        <f t="shared" si="25"/>
        <v>11356.403176290367</v>
      </c>
      <c r="D307" s="1">
        <f t="shared" si="26"/>
        <v>335.39765386921511</v>
      </c>
      <c r="E307" s="1">
        <f t="shared" si="27"/>
        <v>69139.033752321266</v>
      </c>
    </row>
    <row r="308" spans="1:5">
      <c r="A308">
        <f t="shared" si="24"/>
        <v>295</v>
      </c>
      <c r="B308" s="1">
        <f t="shared" si="28"/>
        <v>11691.800830159582</v>
      </c>
      <c r="C308" s="1">
        <f t="shared" si="25"/>
        <v>11403.721522858243</v>
      </c>
      <c r="D308" s="1">
        <f t="shared" si="26"/>
        <v>288.07930730133859</v>
      </c>
      <c r="E308" s="1">
        <f t="shared" si="27"/>
        <v>57735.312229463023</v>
      </c>
    </row>
    <row r="309" spans="1:5">
      <c r="A309">
        <f t="shared" si="24"/>
        <v>296</v>
      </c>
      <c r="B309" s="1">
        <f t="shared" si="28"/>
        <v>11691.800830159582</v>
      </c>
      <c r="C309" s="1">
        <f t="shared" si="25"/>
        <v>11451.237029203487</v>
      </c>
      <c r="D309" s="1">
        <f t="shared" si="26"/>
        <v>240.56380095609592</v>
      </c>
      <c r="E309" s="1">
        <f t="shared" si="27"/>
        <v>46284.07520025954</v>
      </c>
    </row>
    <row r="310" spans="1:5">
      <c r="A310">
        <f t="shared" si="24"/>
        <v>297</v>
      </c>
      <c r="B310" s="1">
        <f t="shared" si="28"/>
        <v>11691.800830159582</v>
      </c>
      <c r="C310" s="1">
        <f t="shared" si="25"/>
        <v>11498.950516825167</v>
      </c>
      <c r="D310" s="1">
        <f t="shared" si="26"/>
        <v>192.85031333441475</v>
      </c>
      <c r="E310" s="1">
        <f t="shared" si="27"/>
        <v>34785.124683434376</v>
      </c>
    </row>
    <row r="311" spans="1:5">
      <c r="A311">
        <f t="shared" si="24"/>
        <v>298</v>
      </c>
      <c r="B311" s="1">
        <f t="shared" si="28"/>
        <v>11691.800830159582</v>
      </c>
      <c r="C311" s="1">
        <f t="shared" si="25"/>
        <v>11546.862810645272</v>
      </c>
      <c r="D311" s="1">
        <f t="shared" si="26"/>
        <v>144.9380195143099</v>
      </c>
      <c r="E311" s="1">
        <f t="shared" si="27"/>
        <v>23238.261872789102</v>
      </c>
    </row>
    <row r="312" spans="1:5">
      <c r="A312">
        <f t="shared" si="24"/>
        <v>299</v>
      </c>
      <c r="B312" s="1">
        <f t="shared" si="28"/>
        <v>11691.800830159582</v>
      </c>
      <c r="C312" s="1">
        <f t="shared" si="25"/>
        <v>11594.97473902296</v>
      </c>
      <c r="D312" s="1">
        <f t="shared" si="26"/>
        <v>96.826091136621258</v>
      </c>
      <c r="E312" s="1">
        <f t="shared" si="27"/>
        <v>11643.287133766142</v>
      </c>
    </row>
    <row r="313" spans="1:5">
      <c r="A313">
        <f t="shared" si="24"/>
        <v>300</v>
      </c>
      <c r="B313" s="1">
        <f t="shared" si="28"/>
        <v>11691.800830159582</v>
      </c>
      <c r="C313" s="1">
        <f t="shared" si="25"/>
        <v>11643.28713376889</v>
      </c>
      <c r="D313" s="1">
        <f t="shared" si="26"/>
        <v>48.51369639069226</v>
      </c>
      <c r="E313" s="1">
        <f t="shared" si="27"/>
        <v>-2.7484929887577891E-9</v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topLeftCell="A2" workbookViewId="0">
      <selection activeCell="W7" sqref="W7"/>
    </sheetView>
  </sheetViews>
  <sheetFormatPr defaultRowHeight="15"/>
  <cols>
    <col min="5" max="5" width="22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V7" sqref="V7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196639.22642105262</v>
      </c>
      <c r="H7" s="94">
        <f>'Profit and Loss Statement'!F21/'Profit and Loss Statement'!F8</f>
        <v>204731.34316421053</v>
      </c>
      <c r="I7" s="94">
        <f>'Profit and Loss Statement'!G21/'Profit and Loss Statement'!G8</f>
        <v>213686.22085932631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196639.22642105262</v>
      </c>
      <c r="H11" s="114">
        <f t="shared" ref="H11:K11" si="0">H7</f>
        <v>204731.34316421053</v>
      </c>
      <c r="I11" s="114">
        <f t="shared" si="0"/>
        <v>213686.22085932631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8" sqref="V8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0.06</v>
      </c>
      <c r="H8" s="101">
        <f>'Revenue Overview'!H5</f>
        <v>0.06</v>
      </c>
      <c r="I8" s="128"/>
      <c r="J8" s="128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8.4389653794968073E-2</v>
      </c>
      <c r="G12" s="101">
        <f>'Profit and Loss Statement'!F28/'Profit and Loss Statement'!F6</f>
        <v>0.10744561933691192</v>
      </c>
      <c r="H12" s="101">
        <f>'Profit and Loss Statement'!G28/'Profit and Loss Statement'!G6</f>
        <v>0.12857104406113826</v>
      </c>
      <c r="I12" s="128"/>
      <c r="J12" s="128"/>
    </row>
    <row r="13" spans="5:10">
      <c r="E13" s="66" t="s">
        <v>92</v>
      </c>
      <c r="F13" s="105">
        <f>'Balance Sheet'!E10/'Balance Sheet'!E15</f>
        <v>1.118102978134673</v>
      </c>
      <c r="G13" s="105">
        <f>'Balance Sheet'!F10/'Balance Sheet'!F15</f>
        <v>1.1402354003302193</v>
      </c>
      <c r="H13" s="105">
        <f>'Balance Sheet'!G10/'Balance Sheet'!G15</f>
        <v>1.1642906973945149</v>
      </c>
      <c r="I13" s="129"/>
      <c r="J13" s="129"/>
    </row>
    <row r="14" spans="5:10">
      <c r="E14" s="66" t="s">
        <v>93</v>
      </c>
      <c r="F14" s="105">
        <f>'Balance Sheet'!E17/'Balance Sheet'!E15</f>
        <v>0.11810297813467291</v>
      </c>
      <c r="G14" s="105">
        <f>'Balance Sheet'!F17/'Balance Sheet'!F15</f>
        <v>0.14023540033021922</v>
      </c>
      <c r="H14" s="105">
        <f>'Balance Sheet'!G17/'Balance Sheet'!G15</f>
        <v>0.1642906973945148</v>
      </c>
      <c r="I14" s="129"/>
      <c r="J14" s="129"/>
    </row>
    <row r="15" spans="5:10">
      <c r="E15" s="66" t="s">
        <v>94</v>
      </c>
      <c r="F15" s="105">
        <f>'Balance Sheet'!E10/'Balance Sheet'!E17</f>
        <v>9.4671869904897683</v>
      </c>
      <c r="G15" s="105">
        <f>'Balance Sheet'!F10/'Balance Sheet'!F17</f>
        <v>8.1308670823861213</v>
      </c>
      <c r="H15" s="105">
        <f>'Balance Sheet'!G10/'Balance Sheet'!G17</f>
        <v>7.0867718979771475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7.7071574025483702E-2</v>
      </c>
      <c r="G18" s="105">
        <f>'Balance Sheet'!F7/'Balance Sheet'!F10</f>
        <v>8.6135046968756804E-2</v>
      </c>
      <c r="H18" s="105">
        <f>'Balance Sheet'!G7/'Balance Sheet'!G10</f>
        <v>9.4677069233122579E-2</v>
      </c>
      <c r="I18" s="129"/>
      <c r="J18" s="129"/>
    </row>
    <row r="19" spans="5:10">
      <c r="E19" s="66" t="s">
        <v>96</v>
      </c>
      <c r="F19" s="105">
        <f>'Balance Sheet'!E7/'Balance Sheet'!E15</f>
        <v>8.6173956447420222E-2</v>
      </c>
      <c r="G19" s="105">
        <f>'Balance Sheet'!F7/'Balance Sheet'!F15</f>
        <v>9.821422976288266E-2</v>
      </c>
      <c r="H19" s="105">
        <f>'Balance Sheet'!G7/'Balance Sheet'!G15</f>
        <v>0.11023163096470104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35" sqref="C3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10.140625" bestFit="1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50000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133</v>
      </c>
      <c r="C6" s="14">
        <v>35000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7"/>
      <c r="N6" s="117"/>
    </row>
    <row r="7" spans="2:14">
      <c r="B7" s="4" t="s">
        <v>127</v>
      </c>
      <c r="C7" s="14">
        <v>30000</v>
      </c>
      <c r="G7" s="4" t="str">
        <f>B6</f>
        <v>Operational Manager</v>
      </c>
      <c r="H7" s="14">
        <f t="shared" si="0"/>
        <v>35000</v>
      </c>
      <c r="I7" s="14">
        <f t="shared" si="1"/>
        <v>36050</v>
      </c>
      <c r="J7" s="14">
        <f t="shared" si="2"/>
        <v>37131.5</v>
      </c>
      <c r="M7" s="117"/>
      <c r="N7" s="117"/>
    </row>
    <row r="8" spans="2:14">
      <c r="B8" s="4" t="s">
        <v>131</v>
      </c>
      <c r="C8" s="14">
        <v>0</v>
      </c>
      <c r="G8" s="4" t="str">
        <f>B7</f>
        <v>Administrative Staff</v>
      </c>
      <c r="H8" s="14">
        <f t="shared" si="0"/>
        <v>30000</v>
      </c>
      <c r="I8" s="14">
        <f t="shared" si="1"/>
        <v>30900</v>
      </c>
      <c r="J8" s="14">
        <f t="shared" si="2"/>
        <v>31827</v>
      </c>
      <c r="M8" s="117"/>
      <c r="N8" s="117"/>
    </row>
    <row r="9" spans="2:14">
      <c r="B9" s="4" t="s">
        <v>132</v>
      </c>
      <c r="C9" s="14">
        <v>0</v>
      </c>
      <c r="G9" s="4" t="str">
        <f>B8</f>
        <v>Position 4</v>
      </c>
      <c r="H9" s="14">
        <f t="shared" si="0"/>
        <v>0</v>
      </c>
      <c r="I9" s="14">
        <f t="shared" si="1"/>
        <v>0</v>
      </c>
      <c r="J9" s="14">
        <f t="shared" si="2"/>
        <v>0</v>
      </c>
      <c r="M9" s="117"/>
      <c r="N9" s="117"/>
    </row>
    <row r="10" spans="2:14">
      <c r="B10" s="4" t="s">
        <v>120</v>
      </c>
      <c r="C10" s="14">
        <v>0</v>
      </c>
      <c r="G10" s="4" t="str">
        <f>B9</f>
        <v>Position 5</v>
      </c>
      <c r="H10" s="14">
        <f t="shared" si="0"/>
        <v>0</v>
      </c>
      <c r="I10" s="14">
        <f t="shared" si="1"/>
        <v>0</v>
      </c>
      <c r="J10" s="14">
        <f t="shared" si="2"/>
        <v>0</v>
      </c>
      <c r="M10" s="117"/>
      <c r="N10" s="117"/>
    </row>
    <row r="11" spans="2:14">
      <c r="B11" s="4" t="s">
        <v>137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136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135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124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115000</v>
      </c>
      <c r="I16" s="9">
        <f t="shared" ref="I16:J16" si="3">SUM(I6:I15)</f>
        <v>118450</v>
      </c>
      <c r="J16" s="9">
        <f t="shared" si="3"/>
        <v>122003.5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Administrative Staff</v>
      </c>
      <c r="H20" s="4">
        <f t="shared" si="4"/>
        <v>1</v>
      </c>
      <c r="I20" s="4">
        <f t="shared" si="5"/>
        <v>1</v>
      </c>
      <c r="J20" s="4">
        <f t="shared" si="6"/>
        <v>1</v>
      </c>
      <c r="M20" s="30"/>
      <c r="N20" s="30"/>
    </row>
    <row r="21" spans="2:20">
      <c r="G21" s="4" t="str">
        <f>G9</f>
        <v>Position 4</v>
      </c>
      <c r="H21" s="4">
        <f t="shared" si="4"/>
        <v>0</v>
      </c>
      <c r="I21" s="4">
        <f t="shared" si="5"/>
        <v>0</v>
      </c>
      <c r="J21" s="4">
        <f t="shared" si="6"/>
        <v>0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Position 5</v>
      </c>
      <c r="H22" s="4">
        <f t="shared" si="4"/>
        <v>0</v>
      </c>
      <c r="I22" s="4">
        <f t="shared" si="5"/>
        <v>0</v>
      </c>
      <c r="J22" s="4">
        <f t="shared" si="6"/>
        <v>0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Administrative Staff</v>
      </c>
      <c r="C26" s="5">
        <v>1</v>
      </c>
      <c r="D26" s="5">
        <v>1</v>
      </c>
      <c r="E26" s="5">
        <v>1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Position 4</v>
      </c>
      <c r="C27" s="5"/>
      <c r="D27" s="5"/>
      <c r="E27" s="5"/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Position 5</v>
      </c>
      <c r="C28" s="5"/>
      <c r="D28" s="5"/>
      <c r="E28" s="5"/>
      <c r="F28" s="140"/>
      <c r="G28" s="10" t="s">
        <v>8</v>
      </c>
      <c r="H28" s="10">
        <f>SUM(H18:H27)</f>
        <v>3</v>
      </c>
      <c r="I28" s="10">
        <f t="shared" ref="I28:J28" si="8">SUM(I18:I27)</f>
        <v>3</v>
      </c>
      <c r="J28" s="10">
        <f t="shared" si="8"/>
        <v>3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120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121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122</v>
      </c>
      <c r="C31" s="5"/>
      <c r="D31" s="5"/>
      <c r="E31" s="5"/>
      <c r="L31" s="112" t="str">
        <f>G6</f>
        <v>Senior Management</v>
      </c>
      <c r="M31" s="113">
        <f>J6/$J$16</f>
        <v>0.43478260869565216</v>
      </c>
      <c r="O31" s="115"/>
      <c r="P31" s="115"/>
      <c r="Q31" s="115"/>
      <c r="R31" s="115"/>
      <c r="S31" s="115"/>
      <c r="T31" s="115"/>
    </row>
    <row r="32" spans="2:20">
      <c r="B32" s="15" t="s">
        <v>123</v>
      </c>
      <c r="C32" s="5"/>
      <c r="D32" s="5"/>
      <c r="E32" s="5"/>
      <c r="F32" s="30"/>
      <c r="G32" s="30"/>
      <c r="L32" s="112" t="str">
        <f>G7</f>
        <v>Operational Manager</v>
      </c>
      <c r="M32" s="113">
        <f>J7/$J$16</f>
        <v>0.30434782608695654</v>
      </c>
      <c r="O32" s="115"/>
      <c r="P32" s="115"/>
      <c r="Q32" s="115"/>
      <c r="T32" s="115"/>
    </row>
    <row r="33" spans="2:20">
      <c r="B33" s="15" t="s">
        <v>124</v>
      </c>
      <c r="C33" s="5"/>
      <c r="D33" s="5"/>
      <c r="E33" s="5"/>
      <c r="F33" s="30"/>
      <c r="G33" s="30"/>
      <c r="L33" s="112" t="str">
        <f>G8</f>
        <v>Administrative Staff</v>
      </c>
      <c r="M33" s="113">
        <f>J8/$J$16</f>
        <v>0.2608695652173913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Position 4</v>
      </c>
      <c r="M34" s="113">
        <f>J9/$J$16</f>
        <v>0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Position 5</v>
      </c>
      <c r="M35" s="113">
        <f>J10/$J$16</f>
        <v>0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Operational Manager</v>
      </c>
      <c r="C59" s="14">
        <f t="shared" si="9"/>
        <v>35000</v>
      </c>
      <c r="D59" s="14">
        <f t="shared" ref="D59:G59" si="10">C59*(1+$C$53)</f>
        <v>36050</v>
      </c>
      <c r="E59" s="14">
        <f t="shared" si="10"/>
        <v>37131.5</v>
      </c>
      <c r="F59" s="14">
        <f t="shared" si="10"/>
        <v>38245.445</v>
      </c>
      <c r="G59" s="14">
        <f t="shared" si="10"/>
        <v>39392.808349999999</v>
      </c>
    </row>
    <row r="60" spans="2:7">
      <c r="B60" s="4" t="str">
        <f t="shared" si="9"/>
        <v>Administrative Staff</v>
      </c>
      <c r="C60" s="14">
        <f t="shared" si="9"/>
        <v>30000</v>
      </c>
      <c r="D60" s="14">
        <f t="shared" ref="D60:G60" si="11">C60*(1+$C$53)</f>
        <v>30900</v>
      </c>
      <c r="E60" s="14">
        <f t="shared" si="11"/>
        <v>31827</v>
      </c>
      <c r="F60" s="14">
        <f t="shared" si="11"/>
        <v>32781.81</v>
      </c>
      <c r="G60" s="14">
        <f t="shared" si="11"/>
        <v>33765.264299999995</v>
      </c>
    </row>
    <row r="61" spans="2:7">
      <c r="B61" s="4" t="str">
        <f t="shared" si="9"/>
        <v>Position 4</v>
      </c>
      <c r="C61" s="14">
        <f t="shared" si="9"/>
        <v>0</v>
      </c>
      <c r="D61" s="14">
        <f t="shared" ref="D61:G61" si="12">C61*(1+$C$53)</f>
        <v>0</v>
      </c>
      <c r="E61" s="14">
        <f t="shared" si="12"/>
        <v>0</v>
      </c>
      <c r="F61" s="14">
        <f t="shared" si="12"/>
        <v>0</v>
      </c>
      <c r="G61" s="14">
        <f t="shared" si="12"/>
        <v>0</v>
      </c>
    </row>
    <row r="62" spans="2:7">
      <c r="B62" s="4" t="str">
        <f t="shared" si="9"/>
        <v>Position 5</v>
      </c>
      <c r="C62" s="14">
        <f t="shared" si="9"/>
        <v>0</v>
      </c>
      <c r="D62" s="14">
        <f t="shared" ref="D62:G62" si="13">C62*(1+$C$53)</f>
        <v>0</v>
      </c>
      <c r="E62" s="14">
        <f t="shared" si="13"/>
        <v>0</v>
      </c>
      <c r="F62" s="14">
        <f t="shared" si="13"/>
        <v>0</v>
      </c>
      <c r="G62" s="14">
        <f t="shared" si="13"/>
        <v>0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J26" sqref="J26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134</v>
      </c>
      <c r="E6" s="6">
        <v>2050000</v>
      </c>
    </row>
    <row r="7" spans="4:5">
      <c r="D7" s="21" t="s">
        <v>130</v>
      </c>
      <c r="E7" s="6">
        <v>25000</v>
      </c>
    </row>
    <row r="8" spans="4:5">
      <c r="D8" s="21" t="s">
        <v>116</v>
      </c>
      <c r="E8" s="6">
        <v>50000</v>
      </c>
    </row>
    <row r="9" spans="4:5">
      <c r="D9" s="21" t="s">
        <v>0</v>
      </c>
      <c r="E9" s="6">
        <v>75000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2200000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200000</v>
      </c>
    </row>
    <row r="22" spans="4:5">
      <c r="D22" s="4" t="s">
        <v>99</v>
      </c>
      <c r="E22" s="14">
        <v>2000000</v>
      </c>
    </row>
    <row r="23" spans="4:5">
      <c r="D23" s="4" t="s">
        <v>100</v>
      </c>
      <c r="E23" s="14">
        <f>SUM(E21:E22)</f>
        <v>2200000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U8" sqref="U8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375519</v>
      </c>
      <c r="F6" s="69">
        <f>'Revenue Overview'!G16</f>
        <v>398050.14</v>
      </c>
      <c r="G6" s="81">
        <f>'Revenue Overview'!H16</f>
        <v>421933.14840000006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18775.95</v>
      </c>
      <c r="F7" s="71">
        <f>'Revenue Overview'!G31</f>
        <v>19902.506999999998</v>
      </c>
      <c r="G7" s="80">
        <f>'Revenue Overview'!H31</f>
        <v>21096.657420000003</v>
      </c>
      <c r="H7" s="136"/>
      <c r="I7" s="136"/>
      <c r="J7" s="115"/>
      <c r="K7" s="112" t="s">
        <v>51</v>
      </c>
      <c r="L7" s="114">
        <f>E6</f>
        <v>375519</v>
      </c>
      <c r="M7" s="114">
        <f>F6</f>
        <v>398050.14</v>
      </c>
      <c r="N7" s="114">
        <f>G6</f>
        <v>421933.14840000006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3">
        <f t="shared" si="0"/>
        <v>0.95</v>
      </c>
      <c r="H8" s="138"/>
      <c r="I8" s="138"/>
      <c r="J8" s="115"/>
      <c r="K8" s="112" t="s">
        <v>76</v>
      </c>
      <c r="L8" s="114">
        <f>E6</f>
        <v>375519</v>
      </c>
      <c r="M8" s="114">
        <f>F6</f>
        <v>398050.14</v>
      </c>
      <c r="N8" s="114">
        <f>G6</f>
        <v>421933.14840000006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356743.05</v>
      </c>
      <c r="F10" s="76">
        <f t="shared" ref="F10:G10" si="1">F6-F7</f>
        <v>378147.63300000003</v>
      </c>
      <c r="G10" s="84">
        <f t="shared" si="1"/>
        <v>400836.49098000006</v>
      </c>
      <c r="H10" s="135"/>
      <c r="I10" s="135"/>
      <c r="J10" s="115"/>
      <c r="K10" s="112" t="s">
        <v>47</v>
      </c>
      <c r="L10" s="114">
        <f>E23</f>
        <v>169935.7849</v>
      </c>
      <c r="M10" s="114">
        <f>F23</f>
        <v>183652.85699400003</v>
      </c>
      <c r="N10" s="114">
        <f>G23</f>
        <v>197834.58116364008</v>
      </c>
      <c r="O10" s="114" t="s">
        <v>138</v>
      </c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169935.7849</v>
      </c>
      <c r="M11" s="114">
        <f t="shared" ref="M11:N11" si="2">M10</f>
        <v>183652.85699400003</v>
      </c>
      <c r="N11" s="114">
        <f t="shared" si="2"/>
        <v>197834.58116364008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115000</v>
      </c>
      <c r="F13" s="78">
        <f>'Personnel - Editable'!I16</f>
        <v>118450</v>
      </c>
      <c r="G13" s="78">
        <f>'Personnel - Editable'!J16</f>
        <v>122003.5</v>
      </c>
      <c r="H13" s="136"/>
      <c r="I13" s="136"/>
      <c r="J13" s="115"/>
      <c r="K13" s="112" t="s">
        <v>75</v>
      </c>
      <c r="L13" s="114">
        <f>E21</f>
        <v>186807.26509999999</v>
      </c>
      <c r="M13" s="114">
        <f>F21</f>
        <v>194494.776006</v>
      </c>
      <c r="N13" s="114">
        <f>G21</f>
        <v>203001.90981635998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35000</v>
      </c>
      <c r="F14" s="80">
        <f>Inputs!D18</f>
        <v>36050</v>
      </c>
      <c r="G14" s="80">
        <f>Inputs!E18</f>
        <v>37131.5</v>
      </c>
      <c r="H14" s="136"/>
      <c r="I14" s="136"/>
      <c r="J14" s="115"/>
      <c r="K14" s="112" t="s">
        <v>78</v>
      </c>
      <c r="L14" s="114">
        <f>E21</f>
        <v>186807.26509999999</v>
      </c>
      <c r="M14" s="114">
        <f>F21</f>
        <v>194494.776006</v>
      </c>
      <c r="N14" s="114">
        <f>G21</f>
        <v>203001.90981635998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5895.6482999999998</v>
      </c>
      <c r="F15" s="78">
        <f>Inputs!D19</f>
        <v>6249.3871979999994</v>
      </c>
      <c r="G15" s="78">
        <f>Inputs!E19</f>
        <v>6624.3504298800008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5707.8887999999997</v>
      </c>
      <c r="F16" s="80">
        <f>Inputs!D20</f>
        <v>6050.3621279999998</v>
      </c>
      <c r="G16" s="80">
        <f>Inputs!E20</f>
        <v>6413.383855680001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6900</v>
      </c>
      <c r="F17" s="78">
        <f>Inputs!D21</f>
        <v>7107</v>
      </c>
      <c r="G17" s="78">
        <f>Inputs!E21</f>
        <v>7320.21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4506.2280000000001</v>
      </c>
      <c r="F18" s="80">
        <f>Inputs!D22</f>
        <v>4776.6016800000007</v>
      </c>
      <c r="G18" s="80">
        <f>Inputs!E22</f>
        <v>5063.1977808000011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8797.5</v>
      </c>
      <c r="F20" s="80">
        <f>F13*'Tax Assumptions '!G9</f>
        <v>9061.4249999999993</v>
      </c>
      <c r="G20" s="80">
        <f>G13*'Tax Assumptions '!H9</f>
        <v>9333.2677499999991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186807.26509999999</v>
      </c>
      <c r="F21" s="81">
        <f t="shared" ref="F21:G21" si="3">SUM(F13:F20)</f>
        <v>194494.776006</v>
      </c>
      <c r="G21" s="81">
        <f t="shared" si="3"/>
        <v>203001.90981635998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169935.7849</v>
      </c>
      <c r="F23" s="83">
        <f t="shared" ref="F23:G23" si="4">F10-F21</f>
        <v>183652.85699400003</v>
      </c>
      <c r="G23" s="83">
        <f t="shared" si="4"/>
        <v>197834.58116364008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11317.828001225931</v>
      </c>
      <c r="F24" s="78">
        <f>(F23-F26-F27)*'Tax Assumptions '!G7</f>
        <v>15274.551364087314</v>
      </c>
      <c r="G24" s="78">
        <f>(G23-G26-G27)*'Tax Assumptions '!H7</f>
        <v>19374.423362068283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2263.5656002451865</v>
      </c>
      <c r="F25" s="80">
        <f>(F23-F26-F27)*'Tax Assumptions '!G8</f>
        <v>3054.910272817463</v>
      </c>
      <c r="G25" s="80">
        <f>(G23-G26-G27)*'Tax Assumptions '!H8</f>
        <v>3874.8846724136565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99063.472895096274</v>
      </c>
      <c r="F26" s="78">
        <f>SUM('Loan Amortization Table'!D26:D37)</f>
        <v>96953.651537650774</v>
      </c>
      <c r="G26" s="78">
        <f>SUM('Loan Amortization Table'!D38:D49)</f>
        <v>94735.887715366945</v>
      </c>
      <c r="H26" s="127"/>
      <c r="I26" s="127"/>
    </row>
    <row r="27" spans="4:21">
      <c r="D27" s="70" t="s">
        <v>54</v>
      </c>
      <c r="E27" s="80">
        <v>25601</v>
      </c>
      <c r="F27" s="80">
        <v>25601</v>
      </c>
      <c r="G27" s="80">
        <v>25601</v>
      </c>
      <c r="H27" s="127"/>
      <c r="I27" s="127"/>
    </row>
    <row r="28" spans="4:21">
      <c r="D28" s="82" t="s">
        <v>17</v>
      </c>
      <c r="E28" s="83">
        <f>E23-SUM(E24:E27)</f>
        <v>31689.918403432617</v>
      </c>
      <c r="F28" s="83">
        <f t="shared" ref="F28:G28" si="5">F23-SUM(F24:F27)</f>
        <v>42768.743819444499</v>
      </c>
      <c r="G28" s="83">
        <f t="shared" si="5"/>
        <v>54248.385413791199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375519</v>
      </c>
      <c r="F32" s="69">
        <f t="shared" ref="F32:G32" si="6">F6</f>
        <v>398050.14</v>
      </c>
      <c r="G32" s="81">
        <f t="shared" si="6"/>
        <v>421933.14840000006</v>
      </c>
      <c r="H32" s="131"/>
      <c r="I32" s="131"/>
    </row>
    <row r="33" spans="4:13">
      <c r="D33" s="70" t="s">
        <v>52</v>
      </c>
      <c r="E33" s="71">
        <f>E7</f>
        <v>18775.95</v>
      </c>
      <c r="F33" s="71">
        <f t="shared" ref="F33:G33" si="7">F7</f>
        <v>19902.506999999998</v>
      </c>
      <c r="G33" s="80">
        <f t="shared" si="7"/>
        <v>21096.657420000003</v>
      </c>
      <c r="H33" s="127"/>
      <c r="I33" s="127"/>
    </row>
    <row r="34" spans="4:13">
      <c r="D34" s="68" t="s">
        <v>10</v>
      </c>
      <c r="E34" s="69">
        <f>E10</f>
        <v>356743.05</v>
      </c>
      <c r="F34" s="69">
        <f t="shared" ref="F34:G34" si="8">F10</f>
        <v>378147.63300000003</v>
      </c>
      <c r="G34" s="81">
        <f t="shared" si="8"/>
        <v>400836.49098000006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186807.26509999999</v>
      </c>
      <c r="F35" s="84">
        <f t="shared" ref="F35:G35" si="9">F21</f>
        <v>194494.776006</v>
      </c>
      <c r="G35" s="84">
        <f t="shared" si="9"/>
        <v>203001.90981635998</v>
      </c>
      <c r="H35" s="131"/>
      <c r="I35" s="131"/>
    </row>
    <row r="36" spans="4:13">
      <c r="D36" s="82" t="s">
        <v>47</v>
      </c>
      <c r="E36" s="83">
        <f>E23</f>
        <v>169935.7849</v>
      </c>
      <c r="F36" s="83">
        <f t="shared" ref="F36:G36" si="10">F23</f>
        <v>183652.85699400003</v>
      </c>
      <c r="G36" s="83">
        <f t="shared" si="10"/>
        <v>197834.58116364008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8" sqref="U8"/>
    </sheetView>
  </sheetViews>
  <sheetFormatPr defaultRowHeight="15"/>
  <cols>
    <col min="4" max="4" width="24.8554687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57290.918403432617</v>
      </c>
      <c r="F6" s="81">
        <f>'Profit and Loss Statement'!F28+'Profit and Loss Statement'!F27</f>
        <v>68369.743819444499</v>
      </c>
      <c r="G6" s="81">
        <f>'Profit and Loss Statement'!G28+'Profit and Loss Statement'!G27</f>
        <v>79849.385413791199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200000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2000000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9">
      <c r="D12" s="75" t="s">
        <v>23</v>
      </c>
      <c r="E12" s="89">
        <f>SUM(E9:E11)</f>
        <v>2210000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2267290.9184034327</v>
      </c>
      <c r="F15" s="90">
        <f t="shared" ref="F15:G15" si="1">F12+F6</f>
        <v>78569.743819444499</v>
      </c>
      <c r="G15" s="90">
        <f t="shared" si="1"/>
        <v>90253.385413791199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41238.137066818708</v>
      </c>
      <c r="F18" s="80">
        <f>SUM('Loan Amortization Table'!C26:C37)</f>
        <v>43347.958424264194</v>
      </c>
      <c r="G18" s="80">
        <f>SUM('Loan Amortization Table'!C38:C49)</f>
        <v>45565.722246548023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Funds'!E6</f>
        <v>2050000</v>
      </c>
      <c r="F20" s="80">
        <f>F6*0.05</f>
        <v>3418.4871909722251</v>
      </c>
      <c r="G20" s="80">
        <f>G6*0.05</f>
        <v>3992.4692706895603</v>
      </c>
      <c r="H20" s="127"/>
      <c r="I20" s="127"/>
    </row>
    <row r="21" spans="4:9">
      <c r="D21" s="72" t="s">
        <v>32</v>
      </c>
      <c r="E21" s="78">
        <v>0</v>
      </c>
      <c r="F21" s="78">
        <v>5000</v>
      </c>
      <c r="G21" s="78">
        <v>15000</v>
      </c>
      <c r="H21" s="127"/>
      <c r="I21" s="127"/>
    </row>
    <row r="22" spans="4:9">
      <c r="D22" s="75" t="s">
        <v>26</v>
      </c>
      <c r="E22" s="84">
        <f>SUM(E18:E21)</f>
        <v>2098238.1370668188</v>
      </c>
      <c r="F22" s="84">
        <f t="shared" ref="F22:G22" si="3">SUM(F18:F21)</f>
        <v>58906.445615236422</v>
      </c>
      <c r="G22" s="84">
        <f t="shared" si="3"/>
        <v>71840.991517237577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169052.78133661393</v>
      </c>
      <c r="F24" s="91">
        <f t="shared" ref="F24:G24" si="4">F15-F22</f>
        <v>19663.298204208077</v>
      </c>
      <c r="G24" s="91">
        <f t="shared" si="4"/>
        <v>18412.393896553622</v>
      </c>
      <c r="H24" s="132"/>
      <c r="I24" s="132"/>
    </row>
    <row r="25" spans="4:9">
      <c r="D25" s="82" t="s">
        <v>6</v>
      </c>
      <c r="E25" s="91">
        <f>E24</f>
        <v>169052.78133661393</v>
      </c>
      <c r="F25" s="91">
        <f>E25+F24</f>
        <v>188716.07954082201</v>
      </c>
      <c r="G25" s="91">
        <f>F25+G24</f>
        <v>207128.47343737562</v>
      </c>
      <c r="H25" s="132"/>
      <c r="I25" s="132"/>
    </row>
    <row r="28" spans="4:9">
      <c r="D28" s="112" t="s">
        <v>79</v>
      </c>
      <c r="E28" s="114">
        <f>E6</f>
        <v>57290.918403432617</v>
      </c>
      <c r="F28" s="114">
        <f t="shared" ref="F28:G28" si="5">F6</f>
        <v>68369.743819444499</v>
      </c>
      <c r="G28" s="114">
        <f t="shared" si="5"/>
        <v>79849.385413791199</v>
      </c>
      <c r="H28" s="1"/>
      <c r="I28" s="1"/>
    </row>
    <row r="29" spans="4:9">
      <c r="D29" s="112" t="s">
        <v>80</v>
      </c>
      <c r="E29" s="114">
        <f>E18</f>
        <v>41238.137066818708</v>
      </c>
      <c r="F29" s="114">
        <f t="shared" ref="F29:G29" si="6">F18</f>
        <v>43347.958424264194</v>
      </c>
      <c r="G29" s="114">
        <f t="shared" si="6"/>
        <v>45565.722246548023</v>
      </c>
      <c r="H29" s="1"/>
      <c r="I29" s="1"/>
    </row>
    <row r="30" spans="4:9">
      <c r="D30" s="112" t="s">
        <v>81</v>
      </c>
      <c r="E30" s="114">
        <f>E21</f>
        <v>0</v>
      </c>
      <c r="F30" s="114">
        <f t="shared" ref="F30:G30" si="7">F21</f>
        <v>5000</v>
      </c>
      <c r="G30" s="114">
        <f t="shared" si="7"/>
        <v>15000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workbookViewId="0">
      <selection activeCell="K41" sqref="J40:K4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169052.78133661393</v>
      </c>
      <c r="F7" s="78">
        <f>'Cash Flow Analysis'!F25</f>
        <v>188716.07954082201</v>
      </c>
      <c r="G7" s="78">
        <f>'Cash Flow Analysis'!G25</f>
        <v>207128.47343737562</v>
      </c>
      <c r="H7" s="127"/>
      <c r="I7" s="127"/>
    </row>
    <row r="8" spans="4:9">
      <c r="D8" s="66" t="s">
        <v>125</v>
      </c>
      <c r="E8" s="94">
        <f>'Cash Flow Analysis'!E20</f>
        <v>2050000</v>
      </c>
      <c r="F8" s="94">
        <f>E8+'Cash Flow Analysis'!F20</f>
        <v>2053418.4871909723</v>
      </c>
      <c r="G8" s="94">
        <f>F8+'Cash Flow Analysis'!G20</f>
        <v>2057410.956461662</v>
      </c>
      <c r="H8" s="127"/>
      <c r="I8" s="127"/>
    </row>
    <row r="9" spans="4:9">
      <c r="D9" s="72" t="s">
        <v>48</v>
      </c>
      <c r="E9" s="87">
        <f>-'Profit and Loss Statement'!E27</f>
        <v>-25601</v>
      </c>
      <c r="F9" s="87">
        <f>E9-'Profit and Loss Statement'!F27</f>
        <v>-51202</v>
      </c>
      <c r="G9" s="87">
        <f>F9-'Profit and Loss Statement'!G27</f>
        <v>-76803</v>
      </c>
      <c r="H9" s="130"/>
      <c r="I9" s="130"/>
    </row>
    <row r="10" spans="4:9">
      <c r="D10" s="95" t="s">
        <v>7</v>
      </c>
      <c r="E10" s="96">
        <f>SUM(E7:E9)</f>
        <v>2193451.7813366139</v>
      </c>
      <c r="F10" s="96">
        <f t="shared" ref="F10:G10" si="0">SUM(F7:F9)</f>
        <v>2190932.5667317943</v>
      </c>
      <c r="G10" s="96">
        <f t="shared" si="0"/>
        <v>2187736.4298990378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1958761.8629331812</v>
      </c>
      <c r="F14" s="94">
        <f>'Loan Amortization Table'!E37</f>
        <v>1915413.9045089169</v>
      </c>
      <c r="G14" s="94">
        <f>'Loan Amortization Table'!E49</f>
        <v>1869848.182262369</v>
      </c>
      <c r="H14" s="127"/>
      <c r="I14" s="127"/>
    </row>
    <row r="15" spans="4:9">
      <c r="D15" s="68" t="s">
        <v>30</v>
      </c>
      <c r="E15" s="81">
        <f>SUM(E13:E14)</f>
        <v>1961761.8629331812</v>
      </c>
      <c r="F15" s="81">
        <f t="shared" ref="F15:G15" si="1">SUM(F13:F14)</f>
        <v>1921473.9045089169</v>
      </c>
      <c r="G15" s="81">
        <f t="shared" si="1"/>
        <v>1879029.3822623689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231689.9184034327</v>
      </c>
      <c r="F17" s="83">
        <f t="shared" ref="F17:G17" si="2">F10-F15</f>
        <v>269458.66222287738</v>
      </c>
      <c r="G17" s="83">
        <f t="shared" si="2"/>
        <v>308707.0476366689</v>
      </c>
      <c r="H17" s="131"/>
      <c r="I17" s="131"/>
    </row>
    <row r="18" spans="4:9">
      <c r="D18" s="82" t="s">
        <v>31</v>
      </c>
      <c r="E18" s="83">
        <f>E15+E17</f>
        <v>2193451.7813366139</v>
      </c>
      <c r="F18" s="83">
        <f t="shared" ref="F18:G18" si="3">F15+F17</f>
        <v>2190932.5667317943</v>
      </c>
      <c r="G18" s="83">
        <f t="shared" si="3"/>
        <v>2187736.4298990378</v>
      </c>
      <c r="H18" s="131"/>
      <c r="I18" s="131"/>
    </row>
    <row r="21" spans="4:9">
      <c r="D21" s="112" t="s">
        <v>82</v>
      </c>
      <c r="E21" s="114">
        <f>E10-1</f>
        <v>2193450.7813366139</v>
      </c>
      <c r="F21" s="114">
        <f t="shared" ref="F21:G21" si="4">F10-1</f>
        <v>2190931.5667317943</v>
      </c>
      <c r="G21" s="114">
        <f t="shared" si="4"/>
        <v>2187735.4298990378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1961761.8629331812</v>
      </c>
      <c r="F22" s="114">
        <f t="shared" ref="F22:G22" si="6">F15</f>
        <v>1921473.9045089169</v>
      </c>
      <c r="G22" s="114">
        <f t="shared" si="6"/>
        <v>1879029.3822623689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231689.9184034327</v>
      </c>
      <c r="F23" s="114">
        <f t="shared" ref="F23:G23" si="8">F17</f>
        <v>269458.66222287738</v>
      </c>
      <c r="G23" s="114">
        <f t="shared" si="8"/>
        <v>308707.0476366689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S168"/>
  <sheetViews>
    <sheetView showGridLines="0" topLeftCell="A2" workbookViewId="0">
      <selection activeCell="T7" sqref="T7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31175</v>
      </c>
      <c r="D6" s="6">
        <f>Inputs!D42</f>
        <v>31196.5</v>
      </c>
      <c r="E6" s="6">
        <f>Inputs!E42</f>
        <v>31218</v>
      </c>
      <c r="F6" s="6">
        <f>Inputs!F42</f>
        <v>31239.5</v>
      </c>
      <c r="G6" s="6">
        <f>Inputs!G42</f>
        <v>31261</v>
      </c>
      <c r="H6" s="6">
        <f>Inputs!H42</f>
        <v>31282.5</v>
      </c>
      <c r="I6" s="6">
        <f>Inputs!I42</f>
        <v>31304</v>
      </c>
    </row>
    <row r="7" spans="2:9">
      <c r="B7" s="31" t="s">
        <v>52</v>
      </c>
      <c r="C7" s="6">
        <f>Inputs!C61</f>
        <v>1558.75</v>
      </c>
      <c r="D7" s="6">
        <f>Inputs!D61</f>
        <v>1559.825</v>
      </c>
      <c r="E7" s="6">
        <f>Inputs!E61</f>
        <v>1560.9</v>
      </c>
      <c r="F7" s="6">
        <f>Inputs!F61</f>
        <v>1561.9749999999999</v>
      </c>
      <c r="G7" s="6">
        <f>Inputs!G61</f>
        <v>1563.05</v>
      </c>
      <c r="H7" s="6">
        <f>Inputs!H61</f>
        <v>1564.125</v>
      </c>
      <c r="I7" s="6">
        <f>Inputs!I61</f>
        <v>1565.2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29616.25</v>
      </c>
      <c r="D10" s="6">
        <f t="shared" ref="D10:I10" si="2">D6-D7</f>
        <v>29636.674999999999</v>
      </c>
      <c r="E10" s="6">
        <f t="shared" si="2"/>
        <v>29657.1</v>
      </c>
      <c r="F10" s="6">
        <f t="shared" si="2"/>
        <v>29677.525000000001</v>
      </c>
      <c r="G10" s="6">
        <f t="shared" si="2"/>
        <v>29697.95</v>
      </c>
      <c r="H10" s="6">
        <f t="shared" si="2"/>
        <v>29718.375</v>
      </c>
      <c r="I10" s="6">
        <f t="shared" si="2"/>
        <v>29738.799999999999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9583.3333333333339</v>
      </c>
      <c r="D13" s="6">
        <f t="shared" ref="D13:I13" si="3">$H$41/12</f>
        <v>9583.3333333333339</v>
      </c>
      <c r="E13" s="6">
        <f t="shared" si="3"/>
        <v>9583.3333333333339</v>
      </c>
      <c r="F13" s="6">
        <f t="shared" si="3"/>
        <v>9583.3333333333339</v>
      </c>
      <c r="G13" s="6">
        <f t="shared" si="3"/>
        <v>9583.3333333333339</v>
      </c>
      <c r="H13" s="6">
        <f t="shared" si="3"/>
        <v>9583.3333333333339</v>
      </c>
      <c r="I13" s="6">
        <f t="shared" si="3"/>
        <v>9583.3333333333339</v>
      </c>
    </row>
    <row r="14" spans="2:9">
      <c r="B14" s="33" t="str">
        <f>'Profit and Loss Statement'!D14</f>
        <v>Facility Costs</v>
      </c>
      <c r="C14" s="6">
        <f>$H$42/12</f>
        <v>2916.6666666666665</v>
      </c>
      <c r="D14" s="6">
        <f t="shared" ref="D14:I14" si="4">$H$42/12</f>
        <v>2916.6666666666665</v>
      </c>
      <c r="E14" s="6">
        <f t="shared" si="4"/>
        <v>2916.6666666666665</v>
      </c>
      <c r="F14" s="6">
        <f t="shared" si="4"/>
        <v>2916.6666666666665</v>
      </c>
      <c r="G14" s="6">
        <f t="shared" si="4"/>
        <v>2916.6666666666665</v>
      </c>
      <c r="H14" s="6">
        <f t="shared" si="4"/>
        <v>2916.6666666666665</v>
      </c>
      <c r="I14" s="6">
        <f t="shared" si="4"/>
        <v>2916.6666666666665</v>
      </c>
    </row>
    <row r="15" spans="2:9">
      <c r="B15" s="33" t="str">
        <f>'Profit and Loss Statement'!D15</f>
        <v>General and Administrative</v>
      </c>
      <c r="C15" s="6">
        <f>$H$43/12</f>
        <v>491.30402499999997</v>
      </c>
      <c r="D15" s="6">
        <f t="shared" ref="D15:I15" si="5">$H$43/12</f>
        <v>491.30402499999997</v>
      </c>
      <c r="E15" s="6">
        <f t="shared" si="5"/>
        <v>491.30402499999997</v>
      </c>
      <c r="F15" s="6">
        <f t="shared" si="5"/>
        <v>491.30402499999997</v>
      </c>
      <c r="G15" s="6">
        <f t="shared" si="5"/>
        <v>491.30402499999997</v>
      </c>
      <c r="H15" s="6">
        <f t="shared" si="5"/>
        <v>491.30402499999997</v>
      </c>
      <c r="I15" s="6">
        <f t="shared" si="5"/>
        <v>491.30402499999997</v>
      </c>
    </row>
    <row r="16" spans="2:9">
      <c r="B16" s="33" t="str">
        <f>'Profit and Loss Statement'!D16</f>
        <v>Equipment Costs</v>
      </c>
      <c r="C16" s="6">
        <f>$H$44/12</f>
        <v>475.6574</v>
      </c>
      <c r="D16" s="6">
        <f t="shared" ref="D16:I16" si="6">$H$44/12</f>
        <v>475.6574</v>
      </c>
      <c r="E16" s="6">
        <f t="shared" si="6"/>
        <v>475.6574</v>
      </c>
      <c r="F16" s="6">
        <f t="shared" si="6"/>
        <v>475.6574</v>
      </c>
      <c r="G16" s="6">
        <f t="shared" si="6"/>
        <v>475.6574</v>
      </c>
      <c r="H16" s="6">
        <f t="shared" si="6"/>
        <v>475.6574</v>
      </c>
      <c r="I16" s="6">
        <f t="shared" si="6"/>
        <v>475.6574</v>
      </c>
    </row>
    <row r="17" spans="2:9">
      <c r="B17" s="33" t="str">
        <f>'Profit and Loss Statement'!D17</f>
        <v>Insurance Costs</v>
      </c>
      <c r="C17" s="6">
        <f>$H$45/12</f>
        <v>575</v>
      </c>
      <c r="D17" s="6">
        <f t="shared" ref="D17:I17" si="7">$H$45/12</f>
        <v>575</v>
      </c>
      <c r="E17" s="6">
        <f t="shared" si="7"/>
        <v>575</v>
      </c>
      <c r="F17" s="6">
        <f t="shared" si="7"/>
        <v>575</v>
      </c>
      <c r="G17" s="6">
        <f t="shared" si="7"/>
        <v>575</v>
      </c>
      <c r="H17" s="6">
        <f t="shared" si="7"/>
        <v>575</v>
      </c>
      <c r="I17" s="6">
        <f t="shared" si="7"/>
        <v>575</v>
      </c>
    </row>
    <row r="18" spans="2:9">
      <c r="B18" s="33" t="str">
        <f>'Profit and Loss Statement'!D18</f>
        <v>Marketing</v>
      </c>
      <c r="C18" s="6">
        <f>$H$46/12</f>
        <v>375.51900000000001</v>
      </c>
      <c r="D18" s="6">
        <f t="shared" ref="D18:I18" si="8">$H$46/12</f>
        <v>375.51900000000001</v>
      </c>
      <c r="E18" s="6">
        <f t="shared" si="8"/>
        <v>375.51900000000001</v>
      </c>
      <c r="F18" s="6">
        <f t="shared" si="8"/>
        <v>375.51900000000001</v>
      </c>
      <c r="G18" s="6">
        <f t="shared" si="8"/>
        <v>375.51900000000001</v>
      </c>
      <c r="H18" s="6">
        <f t="shared" si="8"/>
        <v>375.51900000000001</v>
      </c>
      <c r="I18" s="6">
        <f t="shared" si="8"/>
        <v>375.51900000000001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733.125</v>
      </c>
      <c r="D20" s="6">
        <f t="shared" ref="D20:I20" si="10">$H$48/12</f>
        <v>733.125</v>
      </c>
      <c r="E20" s="6">
        <f t="shared" si="10"/>
        <v>733.125</v>
      </c>
      <c r="F20" s="6">
        <f t="shared" si="10"/>
        <v>733.125</v>
      </c>
      <c r="G20" s="6">
        <f t="shared" si="10"/>
        <v>733.125</v>
      </c>
      <c r="H20" s="6">
        <f t="shared" si="10"/>
        <v>733.125</v>
      </c>
      <c r="I20" s="6">
        <f t="shared" si="10"/>
        <v>733.125</v>
      </c>
    </row>
    <row r="21" spans="2:9">
      <c r="B21" s="28" t="s">
        <v>8</v>
      </c>
      <c r="C21" s="6">
        <f>SUM(C13:C20)</f>
        <v>15567.272091666666</v>
      </c>
      <c r="D21" s="6">
        <f t="shared" ref="D21:I21" si="11">SUM(D13:D20)</f>
        <v>15567.272091666666</v>
      </c>
      <c r="E21" s="6">
        <f t="shared" si="11"/>
        <v>15567.272091666666</v>
      </c>
      <c r="F21" s="6">
        <f t="shared" si="11"/>
        <v>15567.272091666666</v>
      </c>
      <c r="G21" s="6">
        <f t="shared" si="11"/>
        <v>15567.272091666666</v>
      </c>
      <c r="H21" s="6">
        <f t="shared" si="11"/>
        <v>15567.272091666666</v>
      </c>
      <c r="I21" s="6">
        <f t="shared" si="11"/>
        <v>15567.272091666666</v>
      </c>
    </row>
    <row r="22" spans="2:9">
      <c r="B22" s="30"/>
    </row>
    <row r="23" spans="2:9">
      <c r="B23" s="24" t="s">
        <v>47</v>
      </c>
      <c r="C23" s="25">
        <f>C10-C21</f>
        <v>14048.977908333334</v>
      </c>
      <c r="D23" s="25">
        <f t="shared" ref="D23:I23" si="12">D10-D21</f>
        <v>14069.402908333333</v>
      </c>
      <c r="E23" s="25">
        <f t="shared" si="12"/>
        <v>14089.827908333333</v>
      </c>
      <c r="F23" s="25">
        <f t="shared" si="12"/>
        <v>14110.252908333336</v>
      </c>
      <c r="G23" s="25">
        <f t="shared" si="12"/>
        <v>14130.677908333335</v>
      </c>
      <c r="H23" s="25">
        <f t="shared" si="12"/>
        <v>14151.102908333334</v>
      </c>
      <c r="I23" s="25">
        <f t="shared" si="12"/>
        <v>14171.527908333333</v>
      </c>
    </row>
    <row r="24" spans="2:9">
      <c r="B24" s="29" t="s">
        <v>15</v>
      </c>
      <c r="C24" s="6">
        <f>(C6/$H$34)*$H$52</f>
        <v>939.58837752076033</v>
      </c>
      <c r="D24" s="6">
        <f t="shared" ref="D24:I24" si="13">(D6/$H$34)*$H$52</f>
        <v>940.23636950525736</v>
      </c>
      <c r="E24" s="6">
        <f t="shared" si="13"/>
        <v>940.8843614897545</v>
      </c>
      <c r="F24" s="6">
        <f t="shared" si="13"/>
        <v>941.53235347425152</v>
      </c>
      <c r="G24" s="6">
        <f t="shared" si="13"/>
        <v>942.18034545874866</v>
      </c>
      <c r="H24" s="6">
        <f t="shared" si="13"/>
        <v>942.82833744324569</v>
      </c>
      <c r="I24" s="6">
        <f t="shared" si="13"/>
        <v>943.47632942774283</v>
      </c>
    </row>
    <row r="25" spans="2:9">
      <c r="B25" s="29" t="s">
        <v>102</v>
      </c>
      <c r="C25" s="6">
        <f>(C6/$H$34)*$H$53</f>
        <v>187.9176755041521</v>
      </c>
      <c r="D25" s="6">
        <f t="shared" ref="D25:I25" si="14">(D6/$H$34)*$H$53</f>
        <v>188.04727390105148</v>
      </c>
      <c r="E25" s="6">
        <f t="shared" si="14"/>
        <v>188.17687229795092</v>
      </c>
      <c r="F25" s="6">
        <f t="shared" si="14"/>
        <v>188.30647069485033</v>
      </c>
      <c r="G25" s="6">
        <f t="shared" si="14"/>
        <v>188.43606909174977</v>
      </c>
      <c r="H25" s="6">
        <f t="shared" si="14"/>
        <v>188.56566748864915</v>
      </c>
      <c r="I25" s="6">
        <f t="shared" si="14"/>
        <v>188.69526588554859</v>
      </c>
    </row>
    <row r="26" spans="2:9">
      <c r="B26" s="29" t="s">
        <v>16</v>
      </c>
      <c r="C26" s="6">
        <f>'Loan Amortization Table'!D14</f>
        <v>8333.3333333333339</v>
      </c>
      <c r="D26" s="6">
        <f>'Loan Amortization Table'!D15</f>
        <v>8319.3397187632236</v>
      </c>
      <c r="E26" s="6">
        <f>'Loan Amortization Table'!D16</f>
        <v>8305.2877974657385</v>
      </c>
      <c r="F26" s="6">
        <f>'Loan Amortization Table'!D17</f>
        <v>8291.1773264961812</v>
      </c>
      <c r="G26" s="6">
        <f>'Loan Amortization Table'!D18</f>
        <v>8277.0080618975844</v>
      </c>
      <c r="H26" s="6">
        <f>'Loan Amortization Table'!D19</f>
        <v>8262.7797586964916</v>
      </c>
      <c r="I26" s="6">
        <f>'Loan Amortization Table'!D20</f>
        <v>8248.4921708987295</v>
      </c>
    </row>
    <row r="27" spans="2:9">
      <c r="B27" s="29" t="s">
        <v>54</v>
      </c>
      <c r="C27" s="6">
        <f>$H$55/12</f>
        <v>2133.4166666666665</v>
      </c>
      <c r="D27" s="6">
        <f t="shared" ref="D27:I27" si="15">$H$55/12</f>
        <v>2133.4166666666665</v>
      </c>
      <c r="E27" s="6">
        <f t="shared" si="15"/>
        <v>2133.4166666666665</v>
      </c>
      <c r="F27" s="6">
        <f t="shared" si="15"/>
        <v>2133.4166666666665</v>
      </c>
      <c r="G27" s="6">
        <f t="shared" si="15"/>
        <v>2133.4166666666665</v>
      </c>
      <c r="H27" s="6">
        <f t="shared" si="15"/>
        <v>2133.4166666666665</v>
      </c>
      <c r="I27" s="6">
        <f t="shared" si="15"/>
        <v>2133.4166666666665</v>
      </c>
    </row>
    <row r="28" spans="2:9">
      <c r="B28" s="38" t="s">
        <v>17</v>
      </c>
      <c r="C28" s="39">
        <f>C23-SUM(C24:C27)</f>
        <v>2454.7218553084222</v>
      </c>
      <c r="D28" s="39">
        <f t="shared" ref="D28:I28" si="16">D23-SUM(D24:D27)</f>
        <v>2488.3628794971355</v>
      </c>
      <c r="E28" s="39">
        <f t="shared" si="16"/>
        <v>2522.0622104132217</v>
      </c>
      <c r="F28" s="39">
        <f t="shared" si="16"/>
        <v>2555.8200910013857</v>
      </c>
      <c r="G28" s="39">
        <f t="shared" si="16"/>
        <v>2589.6367652185854</v>
      </c>
      <c r="H28" s="39">
        <f t="shared" si="16"/>
        <v>2623.5124780382812</v>
      </c>
      <c r="I28" s="39">
        <f t="shared" si="16"/>
        <v>2657.4474754546463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31325.5</v>
      </c>
      <c r="D34" s="6">
        <f>Inputs!K42</f>
        <v>31347</v>
      </c>
      <c r="E34" s="6">
        <f>Inputs!L42</f>
        <v>31368.5</v>
      </c>
      <c r="F34" s="6">
        <f>Inputs!M42</f>
        <v>31390</v>
      </c>
      <c r="G34" s="6">
        <f>Inputs!N42</f>
        <v>31411.5</v>
      </c>
      <c r="H34" s="6">
        <f>'Profit and Loss Statement'!E6</f>
        <v>375519</v>
      </c>
    </row>
    <row r="35" spans="2:8">
      <c r="B35" s="31" t="s">
        <v>52</v>
      </c>
      <c r="C35" s="6">
        <f>Inputs!J61</f>
        <v>1566.2750000000001</v>
      </c>
      <c r="D35" s="6">
        <f>Inputs!K61</f>
        <v>1567.35</v>
      </c>
      <c r="E35" s="6">
        <f>Inputs!L61</f>
        <v>1568.425</v>
      </c>
      <c r="F35" s="6">
        <f>Inputs!M61</f>
        <v>1569.5</v>
      </c>
      <c r="G35" s="6">
        <f>Inputs!N61</f>
        <v>1570.575</v>
      </c>
      <c r="H35" s="6">
        <f>'Profit and Loss Statement'!E7</f>
        <v>18775.95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29759.224999999999</v>
      </c>
      <c r="D38" s="6">
        <f t="shared" ref="D38:H38" si="19">D34-D35</f>
        <v>29779.65</v>
      </c>
      <c r="E38" s="6">
        <f t="shared" si="19"/>
        <v>29800.075000000001</v>
      </c>
      <c r="F38" s="6">
        <f t="shared" si="19"/>
        <v>29820.5</v>
      </c>
      <c r="G38" s="6">
        <f t="shared" si="19"/>
        <v>29840.924999999999</v>
      </c>
      <c r="H38" s="6">
        <f t="shared" si="19"/>
        <v>356743.05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9583.3333333333339</v>
      </c>
      <c r="D41" s="6">
        <f t="shared" ref="D41:G41" si="20">$H$41/12</f>
        <v>9583.3333333333339</v>
      </c>
      <c r="E41" s="6">
        <f t="shared" si="20"/>
        <v>9583.3333333333339</v>
      </c>
      <c r="F41" s="6">
        <f t="shared" si="20"/>
        <v>9583.3333333333339</v>
      </c>
      <c r="G41" s="6">
        <f t="shared" si="20"/>
        <v>9583.3333333333339</v>
      </c>
      <c r="H41" s="6">
        <f>'Profit and Loss Statement'!E13</f>
        <v>115000</v>
      </c>
    </row>
    <row r="42" spans="2:8">
      <c r="B42" s="33" t="str">
        <f>B14</f>
        <v>Facility Costs</v>
      </c>
      <c r="C42" s="6">
        <f>$H$42/12</f>
        <v>2916.6666666666665</v>
      </c>
      <c r="D42" s="6">
        <f t="shared" ref="D42:G42" si="21">$H$42/12</f>
        <v>2916.6666666666665</v>
      </c>
      <c r="E42" s="6">
        <f t="shared" si="21"/>
        <v>2916.6666666666665</v>
      </c>
      <c r="F42" s="6">
        <f t="shared" si="21"/>
        <v>2916.6666666666665</v>
      </c>
      <c r="G42" s="6">
        <f t="shared" si="21"/>
        <v>2916.6666666666665</v>
      </c>
      <c r="H42" s="6">
        <f>'Profit and Loss Statement'!E14</f>
        <v>35000</v>
      </c>
    </row>
    <row r="43" spans="2:8">
      <c r="B43" s="33" t="str">
        <f t="shared" ref="B43:B47" si="22">B15</f>
        <v>General and Administrative</v>
      </c>
      <c r="C43" s="6">
        <f>$H$43/12</f>
        <v>491.30402499999997</v>
      </c>
      <c r="D43" s="6">
        <f t="shared" ref="D43:G43" si="23">$H$43/12</f>
        <v>491.30402499999997</v>
      </c>
      <c r="E43" s="6">
        <f t="shared" si="23"/>
        <v>491.30402499999997</v>
      </c>
      <c r="F43" s="6">
        <f t="shared" si="23"/>
        <v>491.30402499999997</v>
      </c>
      <c r="G43" s="6">
        <f t="shared" si="23"/>
        <v>491.30402499999997</v>
      </c>
      <c r="H43" s="6">
        <f>'Profit and Loss Statement'!E15</f>
        <v>5895.6482999999998</v>
      </c>
    </row>
    <row r="44" spans="2:8">
      <c r="B44" s="33" t="str">
        <f t="shared" si="22"/>
        <v>Equipment Costs</v>
      </c>
      <c r="C44" s="6">
        <f>$H$44/12</f>
        <v>475.6574</v>
      </c>
      <c r="D44" s="6">
        <f t="shared" ref="D44:G44" si="24">$H$44/12</f>
        <v>475.6574</v>
      </c>
      <c r="E44" s="6">
        <f t="shared" si="24"/>
        <v>475.6574</v>
      </c>
      <c r="F44" s="6">
        <f t="shared" si="24"/>
        <v>475.6574</v>
      </c>
      <c r="G44" s="6">
        <f t="shared" si="24"/>
        <v>475.6574</v>
      </c>
      <c r="H44" s="6">
        <f>'Profit and Loss Statement'!E16</f>
        <v>5707.8887999999997</v>
      </c>
    </row>
    <row r="45" spans="2:8">
      <c r="B45" s="33" t="str">
        <f t="shared" si="22"/>
        <v>Insurance Costs</v>
      </c>
      <c r="C45" s="6">
        <f>$H$45/12</f>
        <v>575</v>
      </c>
      <c r="D45" s="6">
        <f t="shared" ref="D45:G45" si="25">$H$45/12</f>
        <v>575</v>
      </c>
      <c r="E45" s="6">
        <f t="shared" si="25"/>
        <v>575</v>
      </c>
      <c r="F45" s="6">
        <f t="shared" si="25"/>
        <v>575</v>
      </c>
      <c r="G45" s="6">
        <f t="shared" si="25"/>
        <v>575</v>
      </c>
      <c r="H45" s="6">
        <f>'Profit and Loss Statement'!E17</f>
        <v>6900</v>
      </c>
    </row>
    <row r="46" spans="2:8">
      <c r="B46" s="33" t="str">
        <f t="shared" si="22"/>
        <v>Marketing</v>
      </c>
      <c r="C46" s="6">
        <f>$H$46/12</f>
        <v>375.51900000000001</v>
      </c>
      <c r="D46" s="6">
        <f t="shared" ref="D46:G46" si="26">$H$46/12</f>
        <v>375.51900000000001</v>
      </c>
      <c r="E46" s="6">
        <f t="shared" si="26"/>
        <v>375.51900000000001</v>
      </c>
      <c r="F46" s="6">
        <f t="shared" si="26"/>
        <v>375.51900000000001</v>
      </c>
      <c r="G46" s="6">
        <f t="shared" si="26"/>
        <v>375.51900000000001</v>
      </c>
      <c r="H46" s="6">
        <f>'Profit and Loss Statement'!E18</f>
        <v>4506.2280000000001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733.125</v>
      </c>
      <c r="D48" s="6">
        <f t="shared" ref="D48:G48" si="28">$H$48/12</f>
        <v>733.125</v>
      </c>
      <c r="E48" s="6">
        <f t="shared" si="28"/>
        <v>733.125</v>
      </c>
      <c r="F48" s="6">
        <f t="shared" si="28"/>
        <v>733.125</v>
      </c>
      <c r="G48" s="6">
        <f t="shared" si="28"/>
        <v>733.125</v>
      </c>
      <c r="H48" s="6">
        <f>'Profit and Loss Statement'!E20</f>
        <v>8797.5</v>
      </c>
    </row>
    <row r="49" spans="2:15">
      <c r="B49" s="28" t="s">
        <v>8</v>
      </c>
      <c r="C49" s="6">
        <f>SUM(C41:C48)</f>
        <v>15567.272091666666</v>
      </c>
      <c r="D49" s="6">
        <f t="shared" ref="D49:G49" si="29">SUM(D41:D48)</f>
        <v>15567.272091666666</v>
      </c>
      <c r="E49" s="6">
        <f t="shared" si="29"/>
        <v>15567.272091666666</v>
      </c>
      <c r="F49" s="6">
        <f t="shared" si="29"/>
        <v>15567.272091666666</v>
      </c>
      <c r="G49" s="6">
        <f t="shared" si="29"/>
        <v>15567.272091666666</v>
      </c>
      <c r="H49" s="6">
        <f>'Profit and Loss Statement'!E21</f>
        <v>186807.26509999999</v>
      </c>
    </row>
    <row r="50" spans="2:15">
      <c r="B50" s="30"/>
    </row>
    <row r="51" spans="2:15">
      <c r="B51" s="24" t="s">
        <v>47</v>
      </c>
      <c r="C51" s="25">
        <f>C38-C49</f>
        <v>14191.952908333333</v>
      </c>
      <c r="D51" s="25">
        <f t="shared" ref="D51:H51" si="30">D38-D49</f>
        <v>14212.377908333336</v>
      </c>
      <c r="E51" s="25">
        <f t="shared" si="30"/>
        <v>14232.802908333335</v>
      </c>
      <c r="F51" s="25">
        <f t="shared" si="30"/>
        <v>14253.227908333334</v>
      </c>
      <c r="G51" s="25">
        <f t="shared" si="30"/>
        <v>14273.652908333333</v>
      </c>
      <c r="H51" s="25">
        <f t="shared" si="30"/>
        <v>169935.7849</v>
      </c>
    </row>
    <row r="52" spans="2:15">
      <c r="B52" s="29" t="s">
        <v>15</v>
      </c>
      <c r="C52" s="6">
        <f>(C34/$H$34)*$H$52</f>
        <v>944.12432141223985</v>
      </c>
      <c r="D52" s="6">
        <f t="shared" ref="D52:G52" si="31">(D34/$H$34)*$H$52</f>
        <v>944.77231339673688</v>
      </c>
      <c r="E52" s="6">
        <f t="shared" si="31"/>
        <v>945.42030538123402</v>
      </c>
      <c r="F52" s="6">
        <f t="shared" si="31"/>
        <v>946.06829736573104</v>
      </c>
      <c r="G52" s="6">
        <f t="shared" si="31"/>
        <v>946.71628935022818</v>
      </c>
      <c r="H52" s="6">
        <f>'Profit and Loss Statement'!E24</f>
        <v>11317.828001225931</v>
      </c>
    </row>
    <row r="53" spans="2:15">
      <c r="B53" s="29" t="s">
        <v>102</v>
      </c>
      <c r="C53" s="6">
        <f>(C34/$H$34)*$H$53</f>
        <v>188.824864282448</v>
      </c>
      <c r="D53" s="6">
        <f t="shared" ref="D53:G53" si="32">(D34/$H$34)*$H$53</f>
        <v>188.95446267934739</v>
      </c>
      <c r="E53" s="6">
        <f t="shared" si="32"/>
        <v>189.08406107624683</v>
      </c>
      <c r="F53" s="6">
        <f t="shared" si="32"/>
        <v>189.21365947314624</v>
      </c>
      <c r="G53" s="6">
        <f t="shared" si="32"/>
        <v>189.34325787004568</v>
      </c>
      <c r="H53" s="6">
        <f>'Profit and Loss Statement'!E25</f>
        <v>2263.5656002451865</v>
      </c>
    </row>
    <row r="54" spans="2:15">
      <c r="B54" s="29" t="s">
        <v>16</v>
      </c>
      <c r="C54" s="6">
        <f>'Loan Amortization Table'!D21</f>
        <v>8234.1450514851422</v>
      </c>
      <c r="D54" s="6">
        <f>'Loan Amortization Table'!D22</f>
        <v>8219.7381524073317</v>
      </c>
      <c r="E54" s="6">
        <f>'Loan Amortization Table'!D23</f>
        <v>8205.2712245833645</v>
      </c>
      <c r="F54" s="6">
        <f>'Loan Amortization Table'!D24</f>
        <v>8190.744017893463</v>
      </c>
      <c r="G54" s="6">
        <f>'Loan Amortization Table'!D25</f>
        <v>8176.1562811756876</v>
      </c>
      <c r="H54" s="6">
        <f>'Profit and Loss Statement'!E26</f>
        <v>99063.472895096274</v>
      </c>
    </row>
    <row r="55" spans="2:15">
      <c r="B55" s="29" t="s">
        <v>54</v>
      </c>
      <c r="C55" s="6">
        <f>$H$55/12</f>
        <v>2133.4166666666665</v>
      </c>
      <c r="D55" s="6">
        <f t="shared" ref="D55:G55" si="33">$H$55/12</f>
        <v>2133.4166666666665</v>
      </c>
      <c r="E55" s="6">
        <f t="shared" si="33"/>
        <v>2133.4166666666665</v>
      </c>
      <c r="F55" s="6">
        <f t="shared" si="33"/>
        <v>2133.4166666666665</v>
      </c>
      <c r="G55" s="6">
        <f t="shared" si="33"/>
        <v>2133.4166666666665</v>
      </c>
      <c r="H55" s="6">
        <f>'Profit and Loss Statement'!E27</f>
        <v>25601</v>
      </c>
    </row>
    <row r="56" spans="2:15">
      <c r="B56" s="38" t="s">
        <v>17</v>
      </c>
      <c r="C56" s="39">
        <f>C51-SUM(C52:C55)</f>
        <v>2691.4420044868366</v>
      </c>
      <c r="D56" s="39">
        <f t="shared" ref="D56:G56" si="34">D51-SUM(D52:D55)</f>
        <v>2725.4963131832537</v>
      </c>
      <c r="E56" s="39">
        <f t="shared" si="34"/>
        <v>2759.6106506258238</v>
      </c>
      <c r="F56" s="39">
        <f t="shared" si="34"/>
        <v>2793.7852669343283</v>
      </c>
      <c r="G56" s="39">
        <f t="shared" si="34"/>
        <v>2828.0204132707058</v>
      </c>
      <c r="H56" s="39">
        <f>'Profit and Loss Statement'!E28</f>
        <v>31689.918403432617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99512.535000000003</v>
      </c>
      <c r="D62" s="6">
        <f t="shared" ref="D62:F62" si="38">$G$62*M62</f>
        <v>99512.535000000003</v>
      </c>
      <c r="E62" s="6">
        <f t="shared" si="38"/>
        <v>99512.535000000003</v>
      </c>
      <c r="F62" s="6">
        <f t="shared" si="38"/>
        <v>99512.535000000003</v>
      </c>
      <c r="G62" s="6">
        <f>'Profit and Loss Statement'!F6</f>
        <v>398050.14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4975.6267499999994</v>
      </c>
      <c r="D63" s="6">
        <f t="shared" ref="D63:F63" si="39">$G$63*M62</f>
        <v>4975.6267499999994</v>
      </c>
      <c r="E63" s="6">
        <f t="shared" si="39"/>
        <v>4975.6267499999994</v>
      </c>
      <c r="F63" s="6">
        <f t="shared" si="39"/>
        <v>4975.6267499999994</v>
      </c>
      <c r="G63" s="6">
        <f>'Profit and Loss Statement'!F7</f>
        <v>19902.506999999998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19">
      <c r="B65" s="30"/>
    </row>
    <row r="66" spans="2:19">
      <c r="B66" s="37" t="s">
        <v>10</v>
      </c>
      <c r="C66" s="6">
        <f>C62-C63</f>
        <v>94536.908250000008</v>
      </c>
      <c r="D66" s="6">
        <f t="shared" ref="D66:G66" si="43">D62-D63</f>
        <v>94536.908250000008</v>
      </c>
      <c r="E66" s="6">
        <f t="shared" si="43"/>
        <v>94536.908250000008</v>
      </c>
      <c r="F66" s="6">
        <f t="shared" si="43"/>
        <v>94536.908250000008</v>
      </c>
      <c r="G66" s="6">
        <f t="shared" si="43"/>
        <v>378147.63300000003</v>
      </c>
    </row>
    <row r="67" spans="2:19">
      <c r="B67" s="30"/>
    </row>
    <row r="68" spans="2:19">
      <c r="B68" s="30" t="s">
        <v>13</v>
      </c>
    </row>
    <row r="69" spans="2:19">
      <c r="B69" s="31" t="s">
        <v>53</v>
      </c>
      <c r="C69" s="6">
        <f>$G$69/4</f>
        <v>29612.5</v>
      </c>
      <c r="D69" s="6">
        <f t="shared" ref="D69:F69" si="44">$G$69/4</f>
        <v>29612.5</v>
      </c>
      <c r="E69" s="6">
        <f t="shared" si="44"/>
        <v>29612.5</v>
      </c>
      <c r="F69" s="6">
        <f t="shared" si="44"/>
        <v>29612.5</v>
      </c>
      <c r="G69" s="6">
        <f>'Profit and Loss Statement'!F13</f>
        <v>118450</v>
      </c>
    </row>
    <row r="70" spans="2:19">
      <c r="B70" s="33" t="str">
        <f>B42</f>
        <v>Facility Costs</v>
      </c>
      <c r="C70" s="6">
        <f>$G$70/4</f>
        <v>9012.5</v>
      </c>
      <c r="D70" s="6">
        <f t="shared" ref="D70:F70" si="45">$G$70/4</f>
        <v>9012.5</v>
      </c>
      <c r="E70" s="6">
        <f t="shared" si="45"/>
        <v>9012.5</v>
      </c>
      <c r="F70" s="6">
        <f t="shared" si="45"/>
        <v>9012.5</v>
      </c>
      <c r="G70" s="6">
        <f>'Profit and Loss Statement'!F14</f>
        <v>36050</v>
      </c>
    </row>
    <row r="71" spans="2:19">
      <c r="B71" s="33" t="str">
        <f t="shared" ref="B71:B75" si="46">B43</f>
        <v>General and Administrative</v>
      </c>
      <c r="C71" s="6">
        <f>$G$71/4</f>
        <v>1562.3467994999999</v>
      </c>
      <c r="D71" s="6">
        <f t="shared" ref="D71:F71" si="47">$G$71/4</f>
        <v>1562.3467994999999</v>
      </c>
      <c r="E71" s="6">
        <f t="shared" si="47"/>
        <v>1562.3467994999999</v>
      </c>
      <c r="F71" s="6">
        <f t="shared" si="47"/>
        <v>1562.3467994999999</v>
      </c>
      <c r="G71" s="6">
        <f>'Profit and Loss Statement'!F15</f>
        <v>6249.3871979999994</v>
      </c>
    </row>
    <row r="72" spans="2:19">
      <c r="B72" s="33" t="str">
        <f t="shared" si="46"/>
        <v>Equipment Costs</v>
      </c>
      <c r="C72" s="6">
        <f>$G$72/4</f>
        <v>1512.5905319999999</v>
      </c>
      <c r="D72" s="6">
        <f t="shared" ref="D72:F72" si="48">$G$72/4</f>
        <v>1512.5905319999999</v>
      </c>
      <c r="E72" s="6">
        <f t="shared" si="48"/>
        <v>1512.5905319999999</v>
      </c>
      <c r="F72" s="6">
        <f t="shared" si="48"/>
        <v>1512.5905319999999</v>
      </c>
      <c r="G72" s="6">
        <f>'Profit and Loss Statement'!F16</f>
        <v>6050.3621279999998</v>
      </c>
    </row>
    <row r="73" spans="2:19">
      <c r="B73" s="33" t="str">
        <f t="shared" si="46"/>
        <v>Insurance Costs</v>
      </c>
      <c r="C73" s="6">
        <f>$G$73/4</f>
        <v>1776.75</v>
      </c>
      <c r="D73" s="6">
        <f t="shared" ref="D73:F73" si="49">$G$73/4</f>
        <v>1776.75</v>
      </c>
      <c r="E73" s="6">
        <f t="shared" si="49"/>
        <v>1776.75</v>
      </c>
      <c r="F73" s="6">
        <f t="shared" si="49"/>
        <v>1776.75</v>
      </c>
      <c r="G73" s="6">
        <f>'Profit and Loss Statement'!F17</f>
        <v>7107</v>
      </c>
    </row>
    <row r="74" spans="2:19">
      <c r="B74" s="33" t="str">
        <f t="shared" si="46"/>
        <v>Marketing</v>
      </c>
      <c r="C74" s="6">
        <f>$G$74/4</f>
        <v>1194.1504200000002</v>
      </c>
      <c r="D74" s="6">
        <f t="shared" ref="D74:F74" si="50">$G$74/4</f>
        <v>1194.1504200000002</v>
      </c>
      <c r="E74" s="6">
        <f t="shared" si="50"/>
        <v>1194.1504200000002</v>
      </c>
      <c r="F74" s="6">
        <f t="shared" si="50"/>
        <v>1194.1504200000002</v>
      </c>
      <c r="G74" s="6">
        <f>'Profit and Loss Statement'!F18</f>
        <v>4776.6016800000007</v>
      </c>
    </row>
    <row r="75" spans="2:19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19">
      <c r="B76" s="29" t="s">
        <v>14</v>
      </c>
      <c r="C76" s="6">
        <f>$G$76/4</f>
        <v>2265.3562499999998</v>
      </c>
      <c r="D76" s="6">
        <f t="shared" ref="D76:F76" si="52">$G$76/4</f>
        <v>2265.3562499999998</v>
      </c>
      <c r="E76" s="6">
        <f t="shared" si="52"/>
        <v>2265.3562499999998</v>
      </c>
      <c r="F76" s="6">
        <f t="shared" si="52"/>
        <v>2265.3562499999998</v>
      </c>
      <c r="G76" s="6">
        <f>'Profit and Loss Statement'!F20</f>
        <v>9061.4249999999993</v>
      </c>
    </row>
    <row r="77" spans="2:19">
      <c r="B77" s="28" t="s">
        <v>8</v>
      </c>
      <c r="C77" s="6">
        <f>SUM(C69:C76)</f>
        <v>48623.6940015</v>
      </c>
      <c r="D77" s="6">
        <f t="shared" ref="D77:F77" si="53">SUM(D69:D76)</f>
        <v>48623.6940015</v>
      </c>
      <c r="E77" s="6">
        <f t="shared" si="53"/>
        <v>48623.6940015</v>
      </c>
      <c r="F77" s="6">
        <f t="shared" si="53"/>
        <v>48623.6940015</v>
      </c>
      <c r="G77" s="6">
        <f>SUM(G69:G76)</f>
        <v>194494.776006</v>
      </c>
      <c r="S77" s="112" t="s">
        <v>138</v>
      </c>
    </row>
    <row r="78" spans="2:19">
      <c r="B78" s="30"/>
    </row>
    <row r="79" spans="2:19">
      <c r="B79" s="24" t="s">
        <v>47</v>
      </c>
      <c r="C79" s="25">
        <f>C66-C77</f>
        <v>45913.214248500008</v>
      </c>
      <c r="D79" s="25">
        <f t="shared" ref="D79:F79" si="54">D66-D77</f>
        <v>45913.214248500008</v>
      </c>
      <c r="E79" s="25">
        <f t="shared" si="54"/>
        <v>45913.214248500008</v>
      </c>
      <c r="F79" s="25">
        <f t="shared" si="54"/>
        <v>45913.214248500008</v>
      </c>
      <c r="G79" s="25">
        <f t="shared" ref="G79" si="55">G66-G77</f>
        <v>183652.85699400003</v>
      </c>
    </row>
    <row r="80" spans="2:19">
      <c r="B80" s="29" t="s">
        <v>15</v>
      </c>
      <c r="C80" s="6">
        <f>$G$80*L62</f>
        <v>3818.6378410218285</v>
      </c>
      <c r="D80" s="6">
        <f t="shared" ref="D80:F80" si="56">$G$80*M62</f>
        <v>3818.6378410218285</v>
      </c>
      <c r="E80" s="6">
        <f t="shared" si="56"/>
        <v>3818.6378410218285</v>
      </c>
      <c r="F80" s="6">
        <f t="shared" si="56"/>
        <v>3818.6378410218285</v>
      </c>
      <c r="G80" s="6">
        <f>'Profit and Loss Statement'!F24</f>
        <v>15274.551364087314</v>
      </c>
    </row>
    <row r="81" spans="2:15">
      <c r="B81" s="29" t="s">
        <v>102</v>
      </c>
      <c r="C81" s="6">
        <f>$G$81*L62</f>
        <v>763.72756820436575</v>
      </c>
      <c r="D81" s="6">
        <f t="shared" ref="D81:F81" si="57">$G$81*M62</f>
        <v>763.72756820436575</v>
      </c>
      <c r="E81" s="6">
        <f t="shared" si="57"/>
        <v>763.72756820436575</v>
      </c>
      <c r="F81" s="6">
        <f t="shared" si="57"/>
        <v>763.72756820436575</v>
      </c>
      <c r="G81" s="6">
        <f>'Profit and Loss Statement'!F25</f>
        <v>3054.910272817463</v>
      </c>
    </row>
    <row r="82" spans="2:15">
      <c r="B82" s="29" t="s">
        <v>16</v>
      </c>
      <c r="C82" s="6">
        <f>SUM('Loan Amortization Table'!D26:D28)</f>
        <v>24440.333333505332</v>
      </c>
      <c r="D82" s="6">
        <f>SUM('Loan Amortization Table'!D29:D31)</f>
        <v>24306.840289872001</v>
      </c>
      <c r="E82" s="6">
        <f>SUM('Loan Amortization Table'!D32:D34)</f>
        <v>24171.671620773948</v>
      </c>
      <c r="F82" s="6">
        <f>SUM('Loan Amortization Table'!D35:D37)</f>
        <v>24034.806293499492</v>
      </c>
      <c r="G82" s="6">
        <f>'Profit and Loss Statement'!F26</f>
        <v>96953.651537650774</v>
      </c>
    </row>
    <row r="83" spans="2:15">
      <c r="B83" s="29" t="s">
        <v>54</v>
      </c>
      <c r="C83" s="6">
        <f>$G$83/4</f>
        <v>6400.25</v>
      </c>
      <c r="D83" s="6">
        <f t="shared" ref="D83:F83" si="58">$G$83/4</f>
        <v>6400.25</v>
      </c>
      <c r="E83" s="6">
        <f t="shared" si="58"/>
        <v>6400.25</v>
      </c>
      <c r="F83" s="6">
        <f t="shared" si="58"/>
        <v>6400.25</v>
      </c>
      <c r="G83" s="6">
        <f>'Profit and Loss Statement'!F27</f>
        <v>25601</v>
      </c>
    </row>
    <row r="84" spans="2:15">
      <c r="B84" s="38" t="s">
        <v>17</v>
      </c>
      <c r="C84" s="39">
        <f>C79-SUM(C80:C83)</f>
        <v>10490.265505768482</v>
      </c>
      <c r="D84" s="39">
        <f t="shared" ref="D84:F84" si="59">D79-SUM(D80:D83)</f>
        <v>10623.758549401813</v>
      </c>
      <c r="E84" s="39">
        <f t="shared" si="59"/>
        <v>10758.92721849987</v>
      </c>
      <c r="F84" s="39">
        <f t="shared" si="59"/>
        <v>10895.792545774326</v>
      </c>
      <c r="G84" s="39">
        <f>'Profit and Loss Statement'!F28</f>
        <v>42768.743819444499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105483.28710000002</v>
      </c>
      <c r="D92" s="6">
        <f t="shared" ref="D92:F92" si="64">$G$92*M92</f>
        <v>105483.28710000002</v>
      </c>
      <c r="E92" s="6">
        <f t="shared" si="64"/>
        <v>105483.28710000002</v>
      </c>
      <c r="F92" s="6">
        <f t="shared" si="64"/>
        <v>105483.28710000002</v>
      </c>
      <c r="G92" s="6">
        <f>'Profit and Loss Statement'!G6</f>
        <v>421933.14840000006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5274.1643550000008</v>
      </c>
      <c r="D93" s="6">
        <f t="shared" ref="D93:F93" si="65">$G$93*M92</f>
        <v>5274.1643550000008</v>
      </c>
      <c r="E93" s="6">
        <f t="shared" si="65"/>
        <v>5274.1643550000008</v>
      </c>
      <c r="F93" s="6">
        <f t="shared" si="65"/>
        <v>5274.1643550000008</v>
      </c>
      <c r="G93" s="6">
        <f>'Profit and Loss Statement'!G7</f>
        <v>21096.657420000003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100209.12274500002</v>
      </c>
      <c r="D96" s="6">
        <f t="shared" ref="D96:G96" si="67">D92-D93</f>
        <v>100209.12274500002</v>
      </c>
      <c r="E96" s="6">
        <f t="shared" si="67"/>
        <v>100209.12274500002</v>
      </c>
      <c r="F96" s="6">
        <f t="shared" si="67"/>
        <v>100209.12274500002</v>
      </c>
      <c r="G96" s="6">
        <f t="shared" si="67"/>
        <v>400836.49098000006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30500.875</v>
      </c>
      <c r="D99" s="6">
        <f>$G$99/4</f>
        <v>30500.875</v>
      </c>
      <c r="E99" s="6">
        <f>$G$99/4</f>
        <v>30500.875</v>
      </c>
      <c r="F99" s="6">
        <f>$G$99/4</f>
        <v>30500.875</v>
      </c>
      <c r="G99" s="6">
        <f>'Profit and Loss Statement'!G13</f>
        <v>122003.5</v>
      </c>
    </row>
    <row r="100" spans="2:7">
      <c r="B100" s="33" t="str">
        <f>B70</f>
        <v>Facility Costs</v>
      </c>
      <c r="C100" s="6">
        <f>$G$100/4</f>
        <v>9282.875</v>
      </c>
      <c r="D100" s="6">
        <f t="shared" ref="D100:F100" si="68">$G$100/4</f>
        <v>9282.875</v>
      </c>
      <c r="E100" s="6">
        <f t="shared" si="68"/>
        <v>9282.875</v>
      </c>
      <c r="F100" s="6">
        <f t="shared" si="68"/>
        <v>9282.875</v>
      </c>
      <c r="G100" s="6">
        <f>'Profit and Loss Statement'!G14</f>
        <v>37131.5</v>
      </c>
    </row>
    <row r="101" spans="2:7">
      <c r="B101" s="33" t="str">
        <f t="shared" ref="B101:B105" si="69">B71</f>
        <v>General and Administrative</v>
      </c>
      <c r="C101" s="6">
        <f>$G101/4</f>
        <v>1656.0876074700002</v>
      </c>
      <c r="D101" s="6">
        <f t="shared" ref="D101:F101" si="70">$G101/4</f>
        <v>1656.0876074700002</v>
      </c>
      <c r="E101" s="6">
        <f t="shared" si="70"/>
        <v>1656.0876074700002</v>
      </c>
      <c r="F101" s="6">
        <f t="shared" si="70"/>
        <v>1656.0876074700002</v>
      </c>
      <c r="G101" s="6">
        <f>'Profit and Loss Statement'!G15</f>
        <v>6624.3504298800008</v>
      </c>
    </row>
    <row r="102" spans="2:7">
      <c r="B102" s="33" t="str">
        <f t="shared" si="69"/>
        <v>Equipment Costs</v>
      </c>
      <c r="C102" s="6">
        <f>$G$102/4</f>
        <v>1603.3459639200003</v>
      </c>
      <c r="D102" s="6">
        <f t="shared" ref="D102:F102" si="71">$G$102/4</f>
        <v>1603.3459639200003</v>
      </c>
      <c r="E102" s="6">
        <f t="shared" si="71"/>
        <v>1603.3459639200003</v>
      </c>
      <c r="F102" s="6">
        <f t="shared" si="71"/>
        <v>1603.3459639200003</v>
      </c>
      <c r="G102" s="6">
        <f>'Profit and Loss Statement'!G16</f>
        <v>6413.383855680001</v>
      </c>
    </row>
    <row r="103" spans="2:7">
      <c r="B103" s="33" t="str">
        <f t="shared" si="69"/>
        <v>Insurance Costs</v>
      </c>
      <c r="C103" s="6">
        <f>$G$103/4</f>
        <v>1830.0525</v>
      </c>
      <c r="D103" s="6">
        <f t="shared" ref="D103:F103" si="72">$G$103/4</f>
        <v>1830.0525</v>
      </c>
      <c r="E103" s="6">
        <f t="shared" si="72"/>
        <v>1830.0525</v>
      </c>
      <c r="F103" s="6">
        <f t="shared" si="72"/>
        <v>1830.0525</v>
      </c>
      <c r="G103" s="6">
        <f>'Profit and Loss Statement'!G17</f>
        <v>7320.21</v>
      </c>
    </row>
    <row r="104" spans="2:7">
      <c r="B104" s="33" t="str">
        <f t="shared" si="69"/>
        <v>Marketing</v>
      </c>
      <c r="C104" s="6">
        <f>$G$104/4</f>
        <v>1265.7994452000003</v>
      </c>
      <c r="D104" s="6">
        <f t="shared" ref="D104:F104" si="73">$G$104/4</f>
        <v>1265.7994452000003</v>
      </c>
      <c r="E104" s="6">
        <f t="shared" si="73"/>
        <v>1265.7994452000003</v>
      </c>
      <c r="F104" s="6">
        <f t="shared" si="73"/>
        <v>1265.7994452000003</v>
      </c>
      <c r="G104" s="6">
        <f>'Profit and Loss Statement'!G18</f>
        <v>5063.1977808000011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2333.3169374999998</v>
      </c>
      <c r="D106" s="6">
        <f t="shared" ref="D106:F106" si="75">$G$106/4</f>
        <v>2333.3169374999998</v>
      </c>
      <c r="E106" s="6">
        <f t="shared" si="75"/>
        <v>2333.3169374999998</v>
      </c>
      <c r="F106" s="6">
        <f t="shared" si="75"/>
        <v>2333.3169374999998</v>
      </c>
      <c r="G106" s="6">
        <f>'Profit and Loss Statement'!G20</f>
        <v>9333.2677499999991</v>
      </c>
    </row>
    <row r="107" spans="2:7">
      <c r="B107" s="28" t="s">
        <v>8</v>
      </c>
      <c r="C107" s="6">
        <f>SUM(C99:C106)</f>
        <v>50750.477454089996</v>
      </c>
      <c r="D107" s="6">
        <f t="shared" ref="D107:F107" si="76">SUM(D99:D106)</f>
        <v>50750.477454089996</v>
      </c>
      <c r="E107" s="6">
        <f t="shared" si="76"/>
        <v>50750.477454089996</v>
      </c>
      <c r="F107" s="6">
        <f t="shared" si="76"/>
        <v>50750.477454089996</v>
      </c>
      <c r="G107" s="6">
        <f>SUM(G99:G106)</f>
        <v>203001.90981635998</v>
      </c>
    </row>
    <row r="108" spans="2:7">
      <c r="B108" s="30"/>
    </row>
    <row r="109" spans="2:7">
      <c r="B109" s="24" t="s">
        <v>47</v>
      </c>
      <c r="C109" s="25">
        <f>C96-C107</f>
        <v>49458.645290910019</v>
      </c>
      <c r="D109" s="25">
        <f t="shared" ref="D109:G109" si="77">D96-D107</f>
        <v>49458.645290910019</v>
      </c>
      <c r="E109" s="25">
        <f t="shared" si="77"/>
        <v>49458.645290910019</v>
      </c>
      <c r="F109" s="25">
        <f t="shared" si="77"/>
        <v>49458.645290910019</v>
      </c>
      <c r="G109" s="25">
        <f t="shared" si="77"/>
        <v>197834.58116364008</v>
      </c>
    </row>
    <row r="110" spans="2:7">
      <c r="B110" s="29" t="s">
        <v>15</v>
      </c>
      <c r="C110" s="6">
        <f>$G$110*L92</f>
        <v>4843.6058405170706</v>
      </c>
      <c r="D110" s="6">
        <f t="shared" ref="D110:F110" si="78">$G$110*M92</f>
        <v>4843.6058405170706</v>
      </c>
      <c r="E110" s="6">
        <f t="shared" si="78"/>
        <v>4843.6058405170706</v>
      </c>
      <c r="F110" s="6">
        <f t="shared" si="78"/>
        <v>4843.6058405170706</v>
      </c>
      <c r="G110" s="6">
        <f>'Profit and Loss Statement'!G24</f>
        <v>19374.423362068283</v>
      </c>
    </row>
    <row r="111" spans="2:7">
      <c r="B111" s="29" t="s">
        <v>102</v>
      </c>
      <c r="C111" s="6">
        <f>$G$111*L92</f>
        <v>968.72116810341413</v>
      </c>
      <c r="D111" s="6">
        <f t="shared" ref="D111:F111" si="79">$G$111*M92</f>
        <v>968.72116810341413</v>
      </c>
      <c r="E111" s="6">
        <f t="shared" si="79"/>
        <v>968.72116810341413</v>
      </c>
      <c r="F111" s="6">
        <f t="shared" si="79"/>
        <v>968.72116810341413</v>
      </c>
      <c r="G111" s="6">
        <f>'Profit and Loss Statement'!G25</f>
        <v>3874.8846724136565</v>
      </c>
    </row>
    <row r="112" spans="2:7">
      <c r="B112" s="29" t="s">
        <v>16</v>
      </c>
      <c r="C112" s="6">
        <f>SUM('Loan Amortization Table'!D38:D40)</f>
        <v>23896.223011331087</v>
      </c>
      <c r="D112" s="6">
        <f>SUM('Loan Amortization Table'!D41:D43)</f>
        <v>23755.900210231466</v>
      </c>
      <c r="E112" s="6">
        <f>SUM('Loan Amortization Table'!D44:D46)</f>
        <v>23613.816055488209</v>
      </c>
      <c r="F112" s="6">
        <f>SUM('Loan Amortization Table'!D47:D49)</f>
        <v>23469.948438316191</v>
      </c>
      <c r="G112" s="6">
        <f>'Profit and Loss Statement'!G26</f>
        <v>94735.887715366945</v>
      </c>
    </row>
    <row r="113" spans="2:15">
      <c r="B113" s="29" t="s">
        <v>54</v>
      </c>
      <c r="C113" s="6">
        <f>$G$113/4</f>
        <v>6400.25</v>
      </c>
      <c r="D113" s="6">
        <f>$G$113/4</f>
        <v>6400.25</v>
      </c>
      <c r="E113" s="6">
        <f>$G$113/4</f>
        <v>6400.25</v>
      </c>
      <c r="F113" s="6">
        <f>$G$113/4</f>
        <v>6400.25</v>
      </c>
      <c r="G113" s="6">
        <f>'Profit and Loss Statement'!G27</f>
        <v>25601</v>
      </c>
    </row>
    <row r="114" spans="2:15">
      <c r="B114" s="38" t="s">
        <v>17</v>
      </c>
      <c r="C114" s="39">
        <f>C109-SUM(C110:C113)</f>
        <v>13349.845270958445</v>
      </c>
      <c r="D114" s="39">
        <f t="shared" ref="D114:F114" si="80">D109-SUM(D110:D113)</f>
        <v>13490.16807205807</v>
      </c>
      <c r="E114" s="39">
        <f t="shared" si="80"/>
        <v>13632.252226801327</v>
      </c>
      <c r="F114" s="39">
        <f t="shared" si="80"/>
        <v>13776.119843973342</v>
      </c>
      <c r="G114" s="39">
        <f>'Profit and Loss Statement'!G28</f>
        <v>54248.385413791199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T151"/>
  <sheetViews>
    <sheetView showGridLines="0" workbookViewId="0">
      <selection activeCell="T6" sqref="T6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20">
      <c r="C4" s="7" t="s">
        <v>66</v>
      </c>
      <c r="D4" s="3"/>
      <c r="E4" s="3"/>
      <c r="F4" s="3"/>
      <c r="G4" s="3"/>
      <c r="H4" s="3"/>
      <c r="I4" s="3"/>
      <c r="J4" s="3"/>
    </row>
    <row r="5" spans="3:2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20">
      <c r="C6" s="41" t="s">
        <v>67</v>
      </c>
      <c r="D6" s="13">
        <f>'Expanded Profit and Loss'!C28+'Expanded Profit and Loss'!C27</f>
        <v>4588.1385219750882</v>
      </c>
      <c r="E6" s="13">
        <f>'Expanded Profit and Loss'!D28+'Expanded Profit and Loss'!D27</f>
        <v>4621.7795461638016</v>
      </c>
      <c r="F6" s="13">
        <f>'Expanded Profit and Loss'!E28+'Expanded Profit and Loss'!E27</f>
        <v>4655.4788770798878</v>
      </c>
      <c r="G6" s="13">
        <f>'Expanded Profit and Loss'!F28+'Expanded Profit and Loss'!F27</f>
        <v>4689.2367576680517</v>
      </c>
      <c r="H6" s="13">
        <f>'Expanded Profit and Loss'!G28+'Expanded Profit and Loss'!G27</f>
        <v>4723.0534318852515</v>
      </c>
      <c r="I6" s="13">
        <f>'Expanded Profit and Loss'!H28+'Expanded Profit and Loss'!H27</f>
        <v>4756.9291447049472</v>
      </c>
      <c r="J6" s="13">
        <f>'Expanded Profit and Loss'!I28+'Expanded Profit and Loss'!I27</f>
        <v>4790.8641421213124</v>
      </c>
    </row>
    <row r="7" spans="3:20">
      <c r="C7" s="30"/>
    </row>
    <row r="8" spans="3:20">
      <c r="C8" s="35" t="s">
        <v>19</v>
      </c>
    </row>
    <row r="9" spans="3:20">
      <c r="C9" s="12" t="s">
        <v>20</v>
      </c>
      <c r="D9" s="13">
        <f>'Cash Flow Analysis'!E9</f>
        <v>200000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T9" s="112" t="s">
        <v>138</v>
      </c>
    </row>
    <row r="10" spans="3:20">
      <c r="C10" s="31" t="s">
        <v>21</v>
      </c>
      <c r="D10" s="6">
        <f>'Cash Flow Analysis'!E10</f>
        <v>2000000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2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20">
      <c r="C12" s="37" t="s">
        <v>23</v>
      </c>
      <c r="D12" s="26">
        <f>SUM(D9:D11)</f>
        <v>2200833.3333333335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20">
      <c r="C13" s="30"/>
    </row>
    <row r="14" spans="3:20">
      <c r="C14" s="30"/>
    </row>
    <row r="15" spans="3:20">
      <c r="C15" s="41" t="s">
        <v>18</v>
      </c>
      <c r="D15" s="27">
        <f>D6+D12</f>
        <v>2205421.4718553084</v>
      </c>
      <c r="E15" s="27">
        <f t="shared" ref="E15:J15" si="3">E6+E12</f>
        <v>5455.1128794971346</v>
      </c>
      <c r="F15" s="27">
        <f t="shared" si="3"/>
        <v>5488.8122104132208</v>
      </c>
      <c r="G15" s="27">
        <f t="shared" si="3"/>
        <v>5522.5700910013848</v>
      </c>
      <c r="H15" s="27">
        <f t="shared" si="3"/>
        <v>5556.3867652185845</v>
      </c>
      <c r="I15" s="27">
        <f t="shared" si="3"/>
        <v>5590.2624780382803</v>
      </c>
      <c r="J15" s="27">
        <f t="shared" si="3"/>
        <v>5624.1974754546454</v>
      </c>
    </row>
    <row r="16" spans="3:2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3358.467496826248</v>
      </c>
      <c r="E18" s="6">
        <f>'Loan Amortization Table'!C15</f>
        <v>3372.4611113963583</v>
      </c>
      <c r="F18" s="6">
        <f>'Loan Amortization Table'!C16</f>
        <v>3386.5130326938433</v>
      </c>
      <c r="G18" s="6">
        <f>'Loan Amortization Table'!C17</f>
        <v>3400.6235036634007</v>
      </c>
      <c r="H18" s="6">
        <f>'Loan Amortization Table'!C18</f>
        <v>3414.7927682619975</v>
      </c>
      <c r="I18" s="6">
        <f>'Loan Amortization Table'!C19</f>
        <v>3429.0210714630903</v>
      </c>
      <c r="J18" s="6">
        <f>'Loan Amortization Table'!C20</f>
        <v>3443.3086592608524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2050000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2053941.8008301596</v>
      </c>
      <c r="E22" s="26">
        <f t="shared" ref="E22:J22" si="5">SUM(E18:E21)</f>
        <v>3955.7944447296918</v>
      </c>
      <c r="F22" s="26">
        <f t="shared" si="5"/>
        <v>3969.8463660271768</v>
      </c>
      <c r="G22" s="26">
        <f t="shared" si="5"/>
        <v>3983.9568369967342</v>
      </c>
      <c r="H22" s="26">
        <f t="shared" si="5"/>
        <v>3998.126101595331</v>
      </c>
      <c r="I22" s="26">
        <f t="shared" si="5"/>
        <v>4012.3544047964238</v>
      </c>
      <c r="J22" s="26">
        <f t="shared" si="5"/>
        <v>4026.6419925941859</v>
      </c>
    </row>
    <row r="23" spans="3:10">
      <c r="C23" s="30"/>
    </row>
    <row r="24" spans="3:10">
      <c r="C24" s="42" t="s">
        <v>27</v>
      </c>
      <c r="D24" s="25">
        <f>D15-D22</f>
        <v>151479.67102514883</v>
      </c>
      <c r="E24" s="25">
        <f t="shared" ref="E24:J24" si="6">E15-E22</f>
        <v>1499.3184347674428</v>
      </c>
      <c r="F24" s="25">
        <f t="shared" si="6"/>
        <v>1518.965844386044</v>
      </c>
      <c r="G24" s="25">
        <f t="shared" si="6"/>
        <v>1538.6132540046506</v>
      </c>
      <c r="H24" s="25">
        <f t="shared" si="6"/>
        <v>1558.2606636232535</v>
      </c>
      <c r="I24" s="25">
        <f t="shared" si="6"/>
        <v>1577.9080732418565</v>
      </c>
      <c r="J24" s="25">
        <f t="shared" si="6"/>
        <v>1597.5554828604595</v>
      </c>
    </row>
    <row r="25" spans="3:10">
      <c r="C25" s="42" t="s">
        <v>6</v>
      </c>
      <c r="D25" s="25">
        <f>D24</f>
        <v>151479.67102514883</v>
      </c>
      <c r="E25" s="25">
        <f>D25+E24</f>
        <v>152978.98945991628</v>
      </c>
      <c r="F25" s="25">
        <f t="shared" ref="F25:J25" si="7">E25+F24</f>
        <v>154497.95530430233</v>
      </c>
      <c r="G25" s="25">
        <f t="shared" si="7"/>
        <v>156036.56855830699</v>
      </c>
      <c r="H25" s="25">
        <f t="shared" si="7"/>
        <v>157594.82922193024</v>
      </c>
      <c r="I25" s="25">
        <f t="shared" si="7"/>
        <v>159172.73729517209</v>
      </c>
      <c r="J25" s="25">
        <f t="shared" si="7"/>
        <v>160770.29277803254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4824.8586711535027</v>
      </c>
      <c r="E31" s="13">
        <f>'Expanded Profit and Loss'!D56+'Expanded Profit and Loss'!D55</f>
        <v>4858.9129798499198</v>
      </c>
      <c r="F31" s="13">
        <f>'Expanded Profit and Loss'!E56+'Expanded Profit and Loss'!E55</f>
        <v>4893.0273172924899</v>
      </c>
      <c r="G31" s="13">
        <f>'Expanded Profit and Loss'!F56+'Expanded Profit and Loss'!F55</f>
        <v>4927.2019336009944</v>
      </c>
      <c r="H31" s="13">
        <f>'Expanded Profit and Loss'!G56+'Expanded Profit and Loss'!G55</f>
        <v>4961.4370799373719</v>
      </c>
      <c r="I31" s="13">
        <f>'Cash Flow Analysis'!E6</f>
        <v>57290.918403432617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2000000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2210000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5658.1920044868357</v>
      </c>
      <c r="E40" s="27">
        <f t="shared" ref="E40:H40" si="13">E31+E37</f>
        <v>5692.2463131832528</v>
      </c>
      <c r="F40" s="27">
        <f t="shared" si="13"/>
        <v>5726.3606506258229</v>
      </c>
      <c r="G40" s="27">
        <f t="shared" si="13"/>
        <v>5760.5352669343274</v>
      </c>
      <c r="H40" s="27">
        <f t="shared" si="13"/>
        <v>5794.7704132707049</v>
      </c>
      <c r="I40" s="36">
        <f>'Cash Flow Analysis'!E15</f>
        <v>2267290.9184034327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3457.6557786744397</v>
      </c>
      <c r="E43" s="6">
        <f>'Loan Amortization Table'!C22</f>
        <v>3472.0626777522502</v>
      </c>
      <c r="F43" s="6">
        <f>'Loan Amortization Table'!C23</f>
        <v>3486.5296055762174</v>
      </c>
      <c r="G43" s="6">
        <f>'Loan Amortization Table'!C24</f>
        <v>3501.0568122661189</v>
      </c>
      <c r="H43" s="6">
        <f>'Loan Amortization Table'!C25</f>
        <v>3515.6445489838943</v>
      </c>
      <c r="I43" s="6">
        <f>'Cash Flow Analysis'!E18</f>
        <v>41238.137066818708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2050000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0</v>
      </c>
      <c r="I46" s="13">
        <f>'Cash Flow Analysis'!E21</f>
        <v>0</v>
      </c>
      <c r="J46" s="30"/>
    </row>
    <row r="47" spans="3:10">
      <c r="C47" s="37" t="s">
        <v>26</v>
      </c>
      <c r="D47" s="26">
        <f>SUM(D43:D46)</f>
        <v>4040.9891120077732</v>
      </c>
      <c r="E47" s="26">
        <f t="shared" ref="E47:H47" si="15">SUM(E43:E46)</f>
        <v>4055.3960110855837</v>
      </c>
      <c r="F47" s="26">
        <f t="shared" si="15"/>
        <v>4069.8629389095508</v>
      </c>
      <c r="G47" s="26">
        <f t="shared" si="15"/>
        <v>4084.3901455994524</v>
      </c>
      <c r="H47" s="26">
        <f t="shared" si="15"/>
        <v>4098.9778823172273</v>
      </c>
      <c r="I47" s="26">
        <f>'Cash Flow Analysis'!E22</f>
        <v>2098238.1370668188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1617.2028924790625</v>
      </c>
      <c r="E49" s="25">
        <f t="shared" ref="E49:H49" si="16">E40-E47</f>
        <v>1636.8503020976691</v>
      </c>
      <c r="F49" s="25">
        <f t="shared" si="16"/>
        <v>1656.4977117162721</v>
      </c>
      <c r="G49" s="25">
        <f t="shared" si="16"/>
        <v>1676.1451213348751</v>
      </c>
      <c r="H49" s="25">
        <f t="shared" si="16"/>
        <v>1695.7925309534776</v>
      </c>
      <c r="I49" s="45">
        <f>'Cash Flow Analysis'!E24</f>
        <v>169052.78133661393</v>
      </c>
      <c r="J49" s="30"/>
    </row>
    <row r="50" spans="3:10">
      <c r="C50" s="42" t="s">
        <v>6</v>
      </c>
      <c r="D50" s="25">
        <f>J25+D49</f>
        <v>162387.49567051159</v>
      </c>
      <c r="E50" s="25">
        <f>D50+E49</f>
        <v>164024.34597260927</v>
      </c>
      <c r="F50" s="25">
        <f t="shared" ref="F50:H50" si="17">E50+F49</f>
        <v>165680.84368432555</v>
      </c>
      <c r="G50" s="25">
        <f t="shared" si="17"/>
        <v>167356.98880566042</v>
      </c>
      <c r="H50" s="25">
        <f t="shared" si="17"/>
        <v>169052.7813366139</v>
      </c>
      <c r="I50" s="45">
        <f>'Cash Flow Analysis'!E25</f>
        <v>169052.78133661393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16890.515505768482</v>
      </c>
      <c r="E58" s="48">
        <f>'Expanded Profit and Loss'!D84+'Expanded Profit and Loss'!D83</f>
        <v>17024.008549401813</v>
      </c>
      <c r="F58" s="48">
        <f>'Expanded Profit and Loss'!E84+'Expanded Profit and Loss'!E83</f>
        <v>17159.17721849987</v>
      </c>
      <c r="G58" s="48">
        <f>'Expanded Profit and Loss'!F84+'Expanded Profit and Loss'!F83</f>
        <v>17296.042545774326</v>
      </c>
      <c r="H58" s="46">
        <f>'Cash Flow Analysis'!F6</f>
        <v>68369.743819444499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19440.515505768482</v>
      </c>
      <c r="E67" s="48">
        <f t="shared" ref="E67:G67" si="19">E58+E64</f>
        <v>19574.008549401813</v>
      </c>
      <c r="F67" s="48">
        <f t="shared" si="19"/>
        <v>19709.17721849987</v>
      </c>
      <c r="G67" s="48">
        <f t="shared" si="19"/>
        <v>19846.042545774326</v>
      </c>
      <c r="H67" s="27">
        <f>'Cash Flow Analysis'!F15</f>
        <v>78569.743819444499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10635.069156973412</v>
      </c>
      <c r="E70" s="50">
        <f>SUM('Loan Amortization Table'!C29:C31)</f>
        <v>10768.562200606744</v>
      </c>
      <c r="F70" s="50">
        <f>SUM('Loan Amortization Table'!C32:C34)</f>
        <v>10903.730869704797</v>
      </c>
      <c r="G70" s="50">
        <f>SUM('Loan Amortization Table'!C35:C37)</f>
        <v>11040.596196979252</v>
      </c>
      <c r="H70" s="32">
        <f>'Cash Flow Analysis'!F18</f>
        <v>43347.958424264194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3418.4871909722251</v>
      </c>
      <c r="E72" s="50">
        <v>0</v>
      </c>
      <c r="F72" s="50">
        <v>0</v>
      </c>
      <c r="G72" s="50">
        <v>0</v>
      </c>
      <c r="H72" s="32">
        <f>'Cash Flow Analysis'!F20</f>
        <v>3418.4871909722251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5000</v>
      </c>
      <c r="H73" s="13">
        <f>'Cash Flow Analysis'!F21</f>
        <v>5000</v>
      </c>
    </row>
    <row r="74" spans="3:8">
      <c r="C74" s="37" t="s">
        <v>26</v>
      </c>
      <c r="D74" s="51">
        <f>SUM(D70:D73)</f>
        <v>15838.556347945636</v>
      </c>
      <c r="E74" s="51">
        <f t="shared" ref="E74:G74" si="20">SUM(E70:E73)</f>
        <v>12553.562200606744</v>
      </c>
      <c r="F74" s="51">
        <f t="shared" si="20"/>
        <v>12688.730869704797</v>
      </c>
      <c r="G74" s="51">
        <f t="shared" si="20"/>
        <v>17825.596196979252</v>
      </c>
      <c r="H74" s="34">
        <f>'Cash Flow Analysis'!F22</f>
        <v>58906.445615236422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3601.9591578228465</v>
      </c>
      <c r="E76" s="52">
        <f t="shared" ref="E76:G76" si="21">E67-E74</f>
        <v>7020.4463487950688</v>
      </c>
      <c r="F76" s="52">
        <f t="shared" si="21"/>
        <v>7020.4463487950725</v>
      </c>
      <c r="G76" s="52">
        <f t="shared" si="21"/>
        <v>2020.4463487950743</v>
      </c>
      <c r="H76" s="40">
        <f>'Cash Flow Analysis'!F24</f>
        <v>19663.298204208077</v>
      </c>
    </row>
    <row r="77" spans="3:8">
      <c r="C77" s="42" t="s">
        <v>6</v>
      </c>
      <c r="D77" s="52">
        <f>I50+D76</f>
        <v>172654.74049443679</v>
      </c>
      <c r="E77" s="52">
        <f>D77+E76</f>
        <v>179675.18684323184</v>
      </c>
      <c r="F77" s="52">
        <f t="shared" ref="F77:G77" si="22">E77+F76</f>
        <v>186695.63319202693</v>
      </c>
      <c r="G77" s="52">
        <f t="shared" si="22"/>
        <v>188716.07954082201</v>
      </c>
      <c r="H77" s="40">
        <f>'Cash Flow Analysis'!F25</f>
        <v>188716.07954082201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19750.095270958445</v>
      </c>
      <c r="E84" s="48">
        <f>'Expanded Profit and Loss'!D114+'Expanded Profit and Loss'!D113</f>
        <v>19890.41807205807</v>
      </c>
      <c r="F84" s="48">
        <f>'Expanded Profit and Loss'!E114+'Expanded Profit and Loss'!E113</f>
        <v>20032.502226801327</v>
      </c>
      <c r="G84" s="48">
        <f>'Expanded Profit and Loss'!F114+'Expanded Profit and Loss'!F113</f>
        <v>20176.369843973342</v>
      </c>
      <c r="H84" s="27">
        <f>'Cash Flow Analysis'!G6</f>
        <v>79849.385413791199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22351.095270958445</v>
      </c>
      <c r="E93" s="48">
        <f t="shared" ref="E93:G93" si="24">E90+E84</f>
        <v>22491.41807205807</v>
      </c>
      <c r="F93" s="48">
        <f t="shared" si="24"/>
        <v>22633.502226801327</v>
      </c>
      <c r="G93" s="48">
        <f t="shared" si="24"/>
        <v>22777.369843973342</v>
      </c>
      <c r="H93" s="27">
        <f>'Cash Flow Analysis'!G15</f>
        <v>90253.385413791199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11179.179479147657</v>
      </c>
      <c r="E96" s="50">
        <f>SUM('Loan Amortization Table'!C41:C43)</f>
        <v>11319.502280247279</v>
      </c>
      <c r="F96" s="50">
        <f>SUM('Loan Amortization Table'!C44:C46)</f>
        <v>11461.586434990535</v>
      </c>
      <c r="G96" s="50">
        <f>SUM('Loan Amortization Table'!C47:C49)</f>
        <v>11605.454052162557</v>
      </c>
      <c r="H96" s="32">
        <f>'Cash Flow Analysis'!G18</f>
        <v>45565.722246548023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3992.4692706895603</v>
      </c>
      <c r="E98" s="50">
        <v>0</v>
      </c>
      <c r="F98" s="50">
        <v>0</v>
      </c>
      <c r="G98" s="50">
        <v>0</v>
      </c>
      <c r="H98" s="32">
        <f>'Cash Flow Analysis'!G20</f>
        <v>3992.4692706895603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15000</v>
      </c>
      <c r="H99" s="13">
        <f>'Cash Flow Analysis'!G21</f>
        <v>15000</v>
      </c>
    </row>
    <row r="100" spans="3:8">
      <c r="C100" s="37" t="s">
        <v>26</v>
      </c>
      <c r="D100" s="51">
        <f>SUM(D96:D99)</f>
        <v>16992.34874983722</v>
      </c>
      <c r="E100" s="51">
        <f t="shared" ref="E100:G100" si="26">SUM(E96:E99)</f>
        <v>13140.202280247278</v>
      </c>
      <c r="F100" s="51">
        <f t="shared" si="26"/>
        <v>13282.286434990536</v>
      </c>
      <c r="G100" s="51">
        <f t="shared" si="26"/>
        <v>28426.154052162557</v>
      </c>
      <c r="H100" s="34">
        <f>'Cash Flow Analysis'!G22</f>
        <v>71840.991517237577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5358.7465211212257</v>
      </c>
      <c r="E102" s="52">
        <f t="shared" ref="E102:G102" si="27">E93-E100</f>
        <v>9351.2157918107914</v>
      </c>
      <c r="F102" s="52">
        <f t="shared" si="27"/>
        <v>9351.2157918107914</v>
      </c>
      <c r="G102" s="52">
        <f t="shared" si="27"/>
        <v>-5648.7842081892159</v>
      </c>
      <c r="H102" s="40">
        <f>'Cash Flow Analysis'!G24</f>
        <v>18412.393896553622</v>
      </c>
    </row>
    <row r="103" spans="3:8">
      <c r="C103" s="42" t="s">
        <v>6</v>
      </c>
      <c r="D103" s="52">
        <f>G77+D102</f>
        <v>194074.82606194325</v>
      </c>
      <c r="E103" s="52">
        <f>D103+E102</f>
        <v>203426.04185375405</v>
      </c>
      <c r="F103" s="52">
        <f t="shared" ref="F103:G103" si="28">E103+F102</f>
        <v>212777.25764556485</v>
      </c>
      <c r="G103" s="52">
        <f t="shared" si="28"/>
        <v>207128.47343737562</v>
      </c>
      <c r="H103" s="40">
        <f>'Cash Flow Analysis'!G25</f>
        <v>207128.47343737562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L24" sqref="L24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0.06</v>
      </c>
      <c r="H5" s="109">
        <f>Inputs!C47</f>
        <v>0.06</v>
      </c>
      <c r="I5" s="125"/>
      <c r="J5" s="108"/>
      <c r="K5" s="109"/>
      <c r="L5" s="109"/>
      <c r="M5" s="109"/>
    </row>
    <row r="6" spans="5:13">
      <c r="E6" s="94" t="str">
        <f>Inputs!B5</f>
        <v>Rental Income</v>
      </c>
      <c r="F6" s="94">
        <f>SUM(Inputs!C32:N32)</f>
        <v>349320</v>
      </c>
      <c r="G6" s="94">
        <f t="shared" ref="G6:H15" si="0">F6*(1+G$5)</f>
        <v>370279.2</v>
      </c>
      <c r="H6" s="94">
        <f t="shared" si="0"/>
        <v>392495.95200000005</v>
      </c>
      <c r="I6" s="127"/>
      <c r="J6" s="94" t="str">
        <f>E6</f>
        <v>Rental Income</v>
      </c>
      <c r="K6" s="143">
        <f>F6/$F$16</f>
        <v>0.93023255813953487</v>
      </c>
      <c r="L6" s="143">
        <f>G6/$G$16</f>
        <v>0.93023255813953487</v>
      </c>
      <c r="M6" s="143">
        <f>H6/$H$16</f>
        <v>0.93023255813953487</v>
      </c>
    </row>
    <row r="7" spans="5:13">
      <c r="E7" s="94" t="str">
        <f>Inputs!B6</f>
        <v>Other Income</v>
      </c>
      <c r="F7" s="94">
        <f>SUM(Inputs!C33:N33)</f>
        <v>26199</v>
      </c>
      <c r="G7" s="94">
        <f t="shared" si="0"/>
        <v>27770.940000000002</v>
      </c>
      <c r="H7" s="94">
        <f t="shared" si="0"/>
        <v>29437.196400000004</v>
      </c>
      <c r="I7" s="127"/>
      <c r="J7" s="94" t="str">
        <f t="shared" ref="J7:J15" si="1">E7</f>
        <v>Other Income</v>
      </c>
      <c r="K7" s="143">
        <f t="shared" ref="K7:K15" si="2">F7/$F$16</f>
        <v>6.9767441860465115E-2</v>
      </c>
      <c r="L7" s="143">
        <f t="shared" ref="L7:L15" si="3">G7/$G$16</f>
        <v>6.9767441860465115E-2</v>
      </c>
      <c r="M7" s="143">
        <f t="shared" ref="M7:M15" si="4">H7/$H$16</f>
        <v>6.9767441860465115E-2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375519</v>
      </c>
      <c r="G16" s="99">
        <f>SUM(G6:G15)</f>
        <v>398050.14</v>
      </c>
      <c r="H16" s="99">
        <f>SUM(H6:H15)</f>
        <v>421933.14840000006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0.06</v>
      </c>
      <c r="H20" s="109">
        <f>H5</f>
        <v>0.06</v>
      </c>
      <c r="I20" s="125"/>
      <c r="K20" s="125"/>
      <c r="L20" s="125"/>
      <c r="M20" s="125"/>
    </row>
    <row r="21" spans="5:13">
      <c r="E21" s="94" t="str">
        <f>E6</f>
        <v>Rental Income</v>
      </c>
      <c r="F21" s="94">
        <f>SUM(Inputs!C51:N51)</f>
        <v>17466</v>
      </c>
      <c r="G21" s="94">
        <f t="shared" ref="G21:H30" si="5">F21*(1+G$20)</f>
        <v>18513.96</v>
      </c>
      <c r="H21" s="94">
        <f t="shared" si="5"/>
        <v>19624.797600000002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Other Income</v>
      </c>
      <c r="F22" s="94">
        <f>SUM(Inputs!C52:N52)</f>
        <v>1309.95</v>
      </c>
      <c r="G22" s="94">
        <f t="shared" si="5"/>
        <v>1388.547</v>
      </c>
      <c r="H22" s="94">
        <f t="shared" si="5"/>
        <v>1471.8598200000001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18775.95</v>
      </c>
      <c r="G31" s="100">
        <f>SUM(G21:G30)</f>
        <v>19902.506999999998</v>
      </c>
      <c r="H31" s="100">
        <f>SUM(H21:H30)</f>
        <v>21096.657420000003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2025-10-03T15:20:35Z</dcterms:modified>
</cp:coreProperties>
</file>