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Yoga Studio\"/>
    </mc:Choice>
  </mc:AlternateContent>
  <xr:revisionPtr revIDLastSave="0" documentId="13_ncr:1_{552F8106-71FF-40A0-8AF5-D114222DD574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Use of Funds" sheetId="6" r:id="rId3"/>
    <sheet name="Profit and Loss Statement" sheetId="2" r:id="rId4"/>
    <sheet name="Cash Flow Analysis" sheetId="3" r:id="rId5"/>
    <sheet name="Balance Sheet" sheetId="4" r:id="rId6"/>
    <sheet name="Expanded Profit and Loss" sheetId="11" r:id="rId7"/>
    <sheet name=" Expanded Cash Flow Analysis" sheetId="12" r:id="rId8"/>
    <sheet name="Revenue Overview" sheetId="9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7" l="1"/>
  <c r="M40" i="7"/>
  <c r="L36" i="7"/>
  <c r="M36" i="7"/>
  <c r="L37" i="7"/>
  <c r="M37" i="7"/>
  <c r="L38" i="7"/>
  <c r="M38" i="7"/>
  <c r="L39" i="7"/>
  <c r="M39" i="7"/>
  <c r="B25" i="7"/>
  <c r="B26" i="7"/>
  <c r="B27" i="7"/>
  <c r="B28" i="7"/>
  <c r="B29" i="7"/>
  <c r="B30" i="7"/>
  <c r="B31" i="7"/>
  <c r="B32" i="7"/>
  <c r="B33" i="7"/>
  <c r="C33" i="23"/>
  <c r="G8" i="14"/>
  <c r="E20" i="3"/>
  <c r="J8" i="9"/>
  <c r="J9" i="9"/>
  <c r="J10" i="9"/>
  <c r="J11" i="9"/>
  <c r="J12" i="9"/>
  <c r="J13" i="9"/>
  <c r="J14" i="9"/>
  <c r="J15" i="9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G15" i="7"/>
  <c r="G27" i="7" s="1"/>
  <c r="G11" i="7"/>
  <c r="L32" i="7"/>
  <c r="L31" i="7"/>
  <c r="E9" i="4"/>
  <c r="F9" i="4" s="1"/>
  <c r="G9" i="4" s="1"/>
  <c r="F19" i="3"/>
  <c r="G19" i="3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D58" i="7" s="1"/>
  <c r="E58" i="7" s="1"/>
  <c r="B59" i="7"/>
  <c r="B60" i="7"/>
  <c r="B61" i="7"/>
  <c r="B62" i="7"/>
  <c r="B63" i="7"/>
  <c r="B64" i="7"/>
  <c r="B65" i="7"/>
  <c r="B66" i="7"/>
  <c r="B67" i="7"/>
  <c r="B58" i="7"/>
  <c r="G10" i="7"/>
  <c r="G22" i="7" s="1"/>
  <c r="G26" i="7"/>
  <c r="D87" i="12"/>
  <c r="H87" i="12"/>
  <c r="D88" i="12"/>
  <c r="H88" i="12"/>
  <c r="E23" i="6"/>
  <c r="D61" i="12"/>
  <c r="H62" i="12"/>
  <c r="D62" i="12" s="1"/>
  <c r="H61" i="12"/>
  <c r="E36" i="12"/>
  <c r="E37" i="12" s="1"/>
  <c r="H36" i="12"/>
  <c r="H37" i="12" s="1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B24" i="7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G8" i="7"/>
  <c r="G20" i="7" s="1"/>
  <c r="G9" i="7"/>
  <c r="L34" i="7" s="1"/>
  <c r="G6" i="7"/>
  <c r="D33" i="23" l="1"/>
  <c r="D52" i="23" s="1"/>
  <c r="H8" i="14"/>
  <c r="L35" i="7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F33" i="23" s="1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E61" i="23" l="1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G33" i="23" s="1"/>
  <c r="D47" i="11"/>
  <c r="E42" i="11"/>
  <c r="G42" i="11"/>
  <c r="E23" i="9"/>
  <c r="E24" i="9"/>
  <c r="E22" i="9"/>
  <c r="F19" i="11"/>
  <c r="F47" i="11"/>
  <c r="C47" i="11"/>
  <c r="I19" i="11"/>
  <c r="E19" i="11"/>
  <c r="I16" i="7"/>
  <c r="H16" i="7"/>
  <c r="C21" i="23" s="1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D21" i="23" l="1"/>
  <c r="F17" i="2" s="1"/>
  <c r="G73" i="11" s="1"/>
  <c r="G51" i="23"/>
  <c r="E66" i="23"/>
  <c r="F42" i="23"/>
  <c r="F6" i="11" s="1"/>
  <c r="D6" i="11"/>
  <c r="D66" i="23"/>
  <c r="F61" i="23"/>
  <c r="F7" i="11" s="1"/>
  <c r="H32" i="23"/>
  <c r="H33" i="23" s="1"/>
  <c r="E17" i="2"/>
  <c r="D75" i="11"/>
  <c r="F75" i="11"/>
  <c r="E75" i="11"/>
  <c r="J16" i="7"/>
  <c r="E21" i="23" s="1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C75" i="11"/>
  <c r="G70" i="11"/>
  <c r="C8" i="11"/>
  <c r="B16" i="8"/>
  <c r="A17" i="8"/>
  <c r="F66" i="23" l="1"/>
  <c r="G42" i="23"/>
  <c r="G52" i="23"/>
  <c r="H52" i="23"/>
  <c r="H51" i="23"/>
  <c r="M34" i="7"/>
  <c r="M33" i="7"/>
  <c r="M35" i="7"/>
  <c r="M31" i="7"/>
  <c r="M32" i="7"/>
  <c r="I32" i="23"/>
  <c r="I33" i="23" s="1"/>
  <c r="H45" i="11"/>
  <c r="G17" i="2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G66" i="23" l="1"/>
  <c r="H66" i="23"/>
  <c r="J52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L32" i="23"/>
  <c r="L33" i="23" s="1"/>
  <c r="H10" i="11"/>
  <c r="G10" i="11"/>
  <c r="G8" i="11"/>
  <c r="E17" i="8"/>
  <c r="D18" i="8" s="1"/>
  <c r="G18" i="12"/>
  <c r="G22" i="12" s="1"/>
  <c r="A21" i="8"/>
  <c r="B20" i="8"/>
  <c r="L51" i="23" l="1"/>
  <c r="L52" i="23"/>
  <c r="K61" i="23"/>
  <c r="D35" i="11" s="1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2" i="23"/>
  <c r="N33" i="23" s="1"/>
  <c r="C38" i="11"/>
  <c r="I8" i="11"/>
  <c r="I10" i="11"/>
  <c r="E18" i="8"/>
  <c r="D19" i="8" s="1"/>
  <c r="H26" i="11" s="1"/>
  <c r="A23" i="8"/>
  <c r="B22" i="8"/>
  <c r="N51" i="23" l="1"/>
  <c r="F21" i="9" s="1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1" i="3" l="1"/>
  <c r="F20" i="3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G21" i="3" l="1"/>
  <c r="H99" i="12" s="1"/>
  <c r="G99" i="12" s="1"/>
  <c r="G100" i="12" s="1"/>
  <c r="G20" i="3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C295" i="8" s="1"/>
  <c r="E295" i="8" s="1"/>
  <c r="D295" i="8"/>
  <c r="A296" i="8"/>
  <c r="D296" i="8" l="1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<sst xmlns="http://schemas.openxmlformats.org/spreadsheetml/2006/main" count="316" uniqueCount="137">
  <si>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</si>
  <si>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</si>
  <si>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</si>
  <si>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</si>
  <si>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</si>
  <si>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</si>
  <si>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</si>
  <si>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</si>
  <si>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</si>
  <si>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</si>
  <si>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</si>
  <si>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</si>
  <si>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</si>
  <si>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</si>
  <si>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</si>
  <si>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</si>
  <si>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</si>
  <si>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</si>
  <si>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</si>
  <si>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</si>
  <si>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</si>
  <si>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</si>
  <si>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</si>
  <si>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</si>
  <si>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</si>
  <si>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</si>
  <si>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</si>
  <si>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</si>
  <si>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</si>
  <si>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</si>
  <si>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</si>
  <si>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</si>
  <si>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</si>
  <si>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</si>
  <si>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</si>
  <si>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</si>
  <si>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</si>
  <si>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</si>
  <si>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</si>
  <si>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</si>
  <si>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</si>
  <si>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</si>
  <si>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</si>
  <si>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</si>
  <si>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</si>
  <si>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</si>
  <si>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</si>
  <si>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</si>
  <si>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</si>
  <si>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</si>
  <si>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</si>
  <si>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</si>
  <si>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</si>
  <si>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</si>
  <si>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</si>
  <si>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</si>
  <si>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</si>
  <si>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</si>
  <si>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</si>
  <si>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</si>
  <si>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</si>
  <si>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</si>
  <si>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</si>
  <si>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</si>
  <si>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</si>
  <si>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</si>
  <si>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</si>
  <si>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</si>
  <si>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</si>
  <si>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</si>
  <si>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</si>
  <si>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</si>
  <si>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</si>
  <si>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</si>
  <si>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</si>
  <si>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</si>
  <si>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</si>
  <si>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</si>
  <si>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</si>
  <si>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</si>
  <si>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</si>
  <si>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</si>
  <si>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</si>
  <si>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</si>
  <si>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</si>
  <si>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</si>
  <si>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</si>
  <si>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</si>
  <si>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</si>
  <si>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</si>
  <si>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</si>
  <si>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</si>
  <si>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</si>
  <si>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</si>
  <si>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</si>
  <si>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</si>
  <si>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</si>
  <si>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</si>
  <si>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</si>
  <si>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</si>
  <si>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</si>
  <si>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</si>
  <si>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</si>
  <si>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</si>
  <si>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</si>
  <si>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</si>
  <si>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</si>
  <si>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</si>
  <si>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</si>
  <si>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</si>
  <si>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</si>
  <si>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</si>
  <si>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</si>
  <si>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</si>
  <si>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</si>
  <si>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Senior Management</t>
  </si>
  <si>
    <t>Initial Marketing</t>
  </si>
  <si>
    <t>Facility Costs</t>
  </si>
  <si>
    <t>Marketing</t>
  </si>
  <si>
    <t>Operational Managers</t>
  </si>
  <si>
    <t>Equipment Costs</t>
  </si>
  <si>
    <t>Position 6</t>
  </si>
  <si>
    <t>Position 10</t>
  </si>
  <si>
    <t>Fixed Assets</t>
  </si>
  <si>
    <t>Yearly Growth Rate</t>
  </si>
  <si>
    <t>Administrative Staff</t>
  </si>
  <si>
    <t>Furniture, Fixtures, and Equipment</t>
  </si>
  <si>
    <t>Location Development</t>
  </si>
  <si>
    <t>Yoga Studio Fees</t>
  </si>
  <si>
    <t>Staff Instructors</t>
  </si>
  <si>
    <t>Support Staff</t>
  </si>
  <si>
    <t>Membership Income</t>
  </si>
  <si>
    <t>6021 Media Holdings</t>
  </si>
  <si>
    <t>Postion 7</t>
  </si>
  <si>
    <t>Postion 8</t>
  </si>
  <si>
    <t>Postion 9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</si>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</sst>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0" fontId="0" fillId="3" borderId="3" xfId="0" applyFill="1" applyBorder="1" applyAlignment="1">
      <alignment horizontal="center"/>
    </xf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  <xf numFmtId="0" fontId="11" fillId="0" borderId="0" xfId="2"/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94570.027114332188</c:v>
                </c:pt>
                <c:pt idx="1">
                  <c:v>115610.66752721605</c:v>
                </c:pt>
                <c:pt idx="2">
                  <c:v>138805.53951717913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3878.0352162068211</c:v>
                </c:pt>
                <c:pt idx="1">
                  <c:v>4241.8216688980037</c:v>
                </c:pt>
                <c:pt idx="2">
                  <c:v>4639.7338001308781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66199.018980032532</c:v>
                </c:pt>
                <c:pt idx="1">
                  <c:v>80927.467269051223</c:v>
                </c:pt>
                <c:pt idx="2">
                  <c:v>97163.877662025392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94570.027114332188</c:v>
                </c:pt>
                <c:pt idx="1">
                  <c:v>115610.66752721605</c:v>
                </c:pt>
                <c:pt idx="2">
                  <c:v>138805.53951717913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3B2-4C29-9101-18A8547C6D39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3B2-4C29-9101-18A8547C6D3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66199.018980032532</c:v>
                </c:pt>
                <c:pt idx="1">
                  <c:v>80927.467269051223</c:v>
                </c:pt>
                <c:pt idx="2">
                  <c:v>97163.877662025392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chemeClr val="accent6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94287.972918092826</c:v>
                </c:pt>
                <c:pt idx="1">
                  <c:v>124584.35150735965</c:v>
                </c:pt>
                <c:pt idx="2">
                  <c:v>161502.4795623825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5-459E-9248-75A97F77D9E2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59121.964783793177</c:v>
                </c:pt>
                <c:pt idx="1">
                  <c:v>57940.143114895167</c:v>
                </c:pt>
                <c:pt idx="2">
                  <c:v>56421.609314764282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5-459E-9248-75A97F77D9E2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35166.008134299649</c:v>
                </c:pt>
                <c:pt idx="1">
                  <c:v>66644.208392464483</c:v>
                </c:pt>
                <c:pt idx="2">
                  <c:v>105080.87024761822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A5-459E-9248-75A97F77D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7950528"/>
        <c:axId val="446204880"/>
      </c:barChart>
      <c:catAx>
        <c:axId val="163795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204880"/>
        <c:crosses val="autoZero"/>
        <c:auto val="1"/>
        <c:lblAlgn val="ctr"/>
        <c:lblOffset val="100"/>
        <c:noMultiLvlLbl val="0"/>
      </c:catAx>
      <c:valAx>
        <c:axId val="44620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95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Yoga Studio Fees</c:v>
                </c:pt>
                <c:pt idx="1">
                  <c:v>Membership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0.86956521739130432</c:v>
                </c:pt>
                <c:pt idx="1">
                  <c:v>0.13043478260869565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291635.10808530805</c:v>
                </c:pt>
                <c:pt idx="1">
                  <c:v>303578.745078673</c:v>
                </c:pt>
                <c:pt idx="2">
                  <c:v>316636.16851426539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291635.10808530805</c:v>
                </c:pt>
                <c:pt idx="1">
                  <c:v>303578.745078673</c:v>
                </c:pt>
                <c:pt idx="2">
                  <c:v>316636.16851426539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443118</c:v>
                </c:pt>
                <c:pt idx="1">
                  <c:v>487429.80000000005</c:v>
                </c:pt>
                <c:pt idx="2">
                  <c:v>536172.78000000014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267543.5122</c:v>
                </c:pt>
                <c:pt idx="1">
                  <c:v>278500.50092000002</c:v>
                </c:pt>
                <c:pt idx="2">
                  <c:v>290479.26763700001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138969.08779999998</c:v>
                </c:pt>
                <c:pt idx="1">
                  <c:v>168663.35908000002</c:v>
                </c:pt>
                <c:pt idx="2">
                  <c:v>201400.97836300015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443118</c:v>
                </c:pt>
                <c:pt idx="1">
                  <c:v>487429.80000000005</c:v>
                </c:pt>
                <c:pt idx="2">
                  <c:v>536172.78000000014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317952974324811"/>
                  <c:y val="8.600959362838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0.10209092795439405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138969.08779999998</c:v>
                </c:pt>
                <c:pt idx="1">
                  <c:v>168663.35908000002</c:v>
                </c:pt>
                <c:pt idx="2">
                  <c:v>201400.97836300015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7739251040221916E-2"/>
                  <c:y val="-6.789528464114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267543.5122</c:v>
                </c:pt>
                <c:pt idx="1">
                  <c:v>278500.50092000002</c:v>
                </c:pt>
                <c:pt idx="2">
                  <c:v>290479.26763700001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Yoga Studio Fees</c:v>
                </c:pt>
                <c:pt idx="1">
                  <c:v>Membership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0.86956521739130432</c:v>
                </c:pt>
                <c:pt idx="1">
                  <c:v>0.13043478260869565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chemeClr val="accent6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94287.972918092826</c:v>
                </c:pt>
                <c:pt idx="1">
                  <c:v>124584.35150735965</c:v>
                </c:pt>
                <c:pt idx="2">
                  <c:v>161502.4795623825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C-4382-BF5A-4A36847940D8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59121.964783793177</c:v>
                </c:pt>
                <c:pt idx="1">
                  <c:v>57940.143114895167</c:v>
                </c:pt>
                <c:pt idx="2">
                  <c:v>56421.609314764282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C-4382-BF5A-4A36847940D8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35166.008134299649</c:v>
                </c:pt>
                <c:pt idx="1">
                  <c:v>66644.208392464483</c:v>
                </c:pt>
                <c:pt idx="2">
                  <c:v>105080.87024761822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9C-4382-BF5A-4A3684794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7950528"/>
        <c:axId val="446204880"/>
      </c:barChart>
      <c:catAx>
        <c:axId val="163795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204880"/>
        <c:crosses val="autoZero"/>
        <c:auto val="1"/>
        <c:lblAlgn val="ctr"/>
        <c:lblOffset val="100"/>
        <c:noMultiLvlLbl val="0"/>
      </c:catAx>
      <c:valAx>
        <c:axId val="44620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95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Editable'!$L$31:$L$35</c:f>
              <c:strCache>
                <c:ptCount val="5"/>
                <c:pt idx="0">
                  <c:v>Senior Management</c:v>
                </c:pt>
                <c:pt idx="1">
                  <c:v>Operational Managers</c:v>
                </c:pt>
                <c:pt idx="2">
                  <c:v>Staff Instructors</c:v>
                </c:pt>
                <c:pt idx="3">
                  <c:v>Support Staff</c:v>
                </c:pt>
                <c:pt idx="4">
                  <c:v>Administrative Staff</c:v>
                </c:pt>
              </c:strCache>
            </c:strRef>
          </c:cat>
          <c:val>
            <c:numRef>
              <c:f>'Personnel - Editable'!$M$31:$M$35</c:f>
              <c:numCache>
                <c:formatCode>0.0%</c:formatCode>
                <c:ptCount val="5"/>
                <c:pt idx="0">
                  <c:v>0.25316455696202533</c:v>
                </c:pt>
                <c:pt idx="1">
                  <c:v>0.22784810126582278</c:v>
                </c:pt>
                <c:pt idx="2">
                  <c:v>0.17721518987341772</c:v>
                </c:pt>
                <c:pt idx="3">
                  <c:v>0.15189873417721519</c:v>
                </c:pt>
                <c:pt idx="4">
                  <c:v>0.189873417721519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Funds'!$D$6:$D$9</c:f>
              <c:strCache>
                <c:ptCount val="4"/>
                <c:pt idx="0">
                  <c:v>Furniture, Fixtures, and Equipment</c:v>
                </c:pt>
                <c:pt idx="1">
                  <c:v>Location Development</c:v>
                </c:pt>
                <c:pt idx="2">
                  <c:v>Initial Marketing</c:v>
                </c:pt>
                <c:pt idx="3">
                  <c:v>Working Capital</c:v>
                </c:pt>
              </c:strCache>
            </c:strRef>
          </c:cat>
          <c:val>
            <c:numRef>
              <c:f>'Use of Funds'!$E$6:$E$9</c:f>
              <c:numCache>
                <c:formatCode>"$"#,##0</c:formatCode>
                <c:ptCount val="4"/>
                <c:pt idx="0">
                  <c:v>20000</c:v>
                </c:pt>
                <c:pt idx="1">
                  <c:v>20000</c:v>
                </c:pt>
                <c:pt idx="2">
                  <c:v>5000</c:v>
                </c:pt>
                <c:pt idx="3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6539150554898586E-2"/>
          <c:y val="9.7507588412343318E-2"/>
          <c:w val="0.90229682828108027"/>
          <c:h val="0.77531002504367541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443118</c:v>
                </c:pt>
                <c:pt idx="1">
                  <c:v>487429.80000000005</c:v>
                </c:pt>
                <c:pt idx="2">
                  <c:v>536172.78000000014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267543.5122</c:v>
                </c:pt>
                <c:pt idx="1">
                  <c:v>278500.50092000002</c:v>
                </c:pt>
                <c:pt idx="2">
                  <c:v>290479.26763700001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138969.08779999998</c:v>
                </c:pt>
                <c:pt idx="1">
                  <c:v>168663.35908000002</c:v>
                </c:pt>
                <c:pt idx="2">
                  <c:v>201400.97836300015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443118</c:v>
                </c:pt>
                <c:pt idx="1">
                  <c:v>487429.80000000005</c:v>
                </c:pt>
                <c:pt idx="2">
                  <c:v>536172.78000000014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138969.08779999998</c:v>
                </c:pt>
                <c:pt idx="1">
                  <c:v>168663.35908000002</c:v>
                </c:pt>
                <c:pt idx="2">
                  <c:v>201400.97836300015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0"/>
                  <c:y val="-2.4316106835995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267543.5122</c:v>
                </c:pt>
                <c:pt idx="1">
                  <c:v>278500.50092000002</c:v>
                </c:pt>
                <c:pt idx="2">
                  <c:v>290479.26763700001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94570.027114332188</c:v>
                </c:pt>
                <c:pt idx="1">
                  <c:v>115610.66752721605</c:v>
                </c:pt>
                <c:pt idx="2">
                  <c:v>138805.53951717913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3878.0352162068211</c:v>
                </c:pt>
                <c:pt idx="1">
                  <c:v>4241.8216688980037</c:v>
                </c:pt>
                <c:pt idx="2">
                  <c:v>4639.7338001308781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66199.018980032532</c:v>
                </c:pt>
                <c:pt idx="1">
                  <c:v>80927.467269051223</c:v>
                </c:pt>
                <c:pt idx="2">
                  <c:v>97163.877662025392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94570.027114332188</c:v>
                </c:pt>
                <c:pt idx="1">
                  <c:v>115610.66752721605</c:v>
                </c:pt>
                <c:pt idx="2">
                  <c:v>138805.53951717913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8739-45AB-AB36-942F9C9070B6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8739-45AB-AB36-942F9C9070B6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66199.018980032532</c:v>
                </c:pt>
                <c:pt idx="1">
                  <c:v>80927.467269051223</c:v>
                </c:pt>
                <c:pt idx="2">
                  <c:v>97163.877662025392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94287.972918092826</c:v>
                </c:pt>
                <c:pt idx="1">
                  <c:v>59121.964783793177</c:v>
                </c:pt>
                <c:pt idx="2">
                  <c:v>35166.008134299649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124584.35150735965</c:v>
                </c:pt>
                <c:pt idx="1">
                  <c:v>57940.143114895167</c:v>
                </c:pt>
                <c:pt idx="2">
                  <c:v>66644.208392464483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161502.4795623825</c:v>
                </c:pt>
                <c:pt idx="1">
                  <c:v>56421.609314764282</c:v>
                </c:pt>
                <c:pt idx="2">
                  <c:v>105080.87024761822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552450</xdr:colOff>
      <xdr:row>2</xdr:row>
      <xdr:rowOff>76200</xdr:rowOff>
    </xdr:from>
    <xdr:to>
      <xdr:col>21</xdr:col>
      <xdr:colOff>104773</xdr:colOff>
      <xdr:row>12</xdr:row>
      <xdr:rowOff>171448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FECFE5-A343-4799-936C-CA7D6D878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16</xdr:col>
      <xdr:colOff>542925</xdr:colOff>
      <xdr:row>28</xdr:row>
      <xdr:rowOff>114300</xdr:rowOff>
    </xdr:from>
    <xdr:to>
      <xdr:col>21</xdr:col>
      <xdr:colOff>323850</xdr:colOff>
      <xdr:row>39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A035E6-A953-4654-BC01-DE3ECF911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6050" y="54483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304800</xdr:colOff>
      <xdr:row>0</xdr:row>
      <xdr:rowOff>0</xdr:rowOff>
    </xdr:from>
    <xdr:to>
      <xdr:col>22</xdr:col>
      <xdr:colOff>85725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4717E1-2460-4B37-A16B-AB7A82C49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752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581025</xdr:colOff>
      <xdr:row>0</xdr:row>
      <xdr:rowOff>0</xdr:rowOff>
    </xdr:from>
    <xdr:to>
      <xdr:col>26</xdr:col>
      <xdr:colOff>361950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11408C-2D88-4661-908F-56264748D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182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109537</xdr:colOff>
      <xdr:row>8</xdr:row>
      <xdr:rowOff>176212</xdr:rowOff>
    </xdr:from>
    <xdr:to>
      <xdr:col>10</xdr:col>
      <xdr:colOff>152400</xdr:colOff>
      <xdr:row>23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590550</xdr:colOff>
      <xdr:row>0</xdr:row>
      <xdr:rowOff>0</xdr:rowOff>
    </xdr:from>
    <xdr:to>
      <xdr:col>25</xdr:col>
      <xdr:colOff>371475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A8EAD0-8CAE-463F-A4BD-90BFCF68B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037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304800</xdr:colOff>
      <xdr:row>0</xdr:row>
      <xdr:rowOff>133350</xdr:rowOff>
    </xdr:from>
    <xdr:to>
      <xdr:col>25</xdr:col>
      <xdr:colOff>85725</xdr:colOff>
      <xdr:row>11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94C91F-C608-453A-89BE-CD244BD1B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5550" y="1333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3</xdr:row>
      <xdr:rowOff>33336</xdr:rowOff>
    </xdr:from>
    <xdr:to>
      <xdr:col>18</xdr:col>
      <xdr:colOff>609599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314325</xdr:colOff>
      <xdr:row>28</xdr:row>
      <xdr:rowOff>180975</xdr:rowOff>
    </xdr:from>
    <xdr:to>
      <xdr:col>14</xdr:col>
      <xdr:colOff>19050</xdr:colOff>
      <xdr:row>39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F7FAD6-5247-4CD4-B9E9-84FED4E47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0" y="55149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47625</xdr:rowOff>
    </xdr:from>
    <xdr:to>
      <xdr:col>20</xdr:col>
      <xdr:colOff>257175</xdr:colOff>
      <xdr:row>27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22</xdr:col>
      <xdr:colOff>38100</xdr:colOff>
      <xdr:row>0</xdr:row>
      <xdr:rowOff>0</xdr:rowOff>
    </xdr:from>
    <xdr:to>
      <xdr:col>26</xdr:col>
      <xdr:colOff>428625</xdr:colOff>
      <xdr:row>11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3B8634-8DD1-45D1-B8B1-DC6072EC6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057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200025</xdr:colOff>
      <xdr:row>0</xdr:row>
      <xdr:rowOff>9525</xdr:rowOff>
    </xdr:from>
    <xdr:to>
      <xdr:col>23</xdr:col>
      <xdr:colOff>590550</xdr:colOff>
      <xdr:row>11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9E784B-18D7-4431-8437-055F8CAB9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95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9525</xdr:colOff>
      <xdr:row>0</xdr:row>
      <xdr:rowOff>0</xdr:rowOff>
    </xdr:from>
    <xdr:to>
      <xdr:col>24</xdr:col>
      <xdr:colOff>400050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7EDC94-D773-4735-A9EF-4B463D761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333375</xdr:colOff>
      <xdr:row>4</xdr:row>
      <xdr:rowOff>119062</xdr:rowOff>
    </xdr:from>
    <xdr:to>
      <xdr:col>14</xdr:col>
      <xdr:colOff>161925</xdr:colOff>
      <xdr:row>19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2B4BE7-2047-C93A-B0FE-1DEE09BD4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57150</xdr:colOff>
      <xdr:row>3</xdr:row>
      <xdr:rowOff>114300</xdr:rowOff>
    </xdr:from>
    <xdr:to>
      <xdr:col>23</xdr:col>
      <xdr:colOff>447675</xdr:colOff>
      <xdr:row>14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23A7FD-1705-48B2-AF71-1CA85E69B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0" y="6858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304800</xdr:colOff>
      <xdr:row>0</xdr:row>
      <xdr:rowOff>0</xdr:rowOff>
    </xdr:from>
    <xdr:to>
      <xdr:col>24</xdr:col>
      <xdr:colOff>85725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21DEA4-6C07-4C08-AEE4-6D54DDD07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38100</xdr:colOff>
      <xdr:row>0</xdr:row>
      <xdr:rowOff>0</xdr:rowOff>
    </xdr:from>
    <xdr:to>
      <xdr:col>25</xdr:col>
      <xdr:colOff>428625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601C58-55D2-4BA1-B60C-708B6B31D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377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142875</xdr:colOff>
      <xdr:row>16</xdr:row>
      <xdr:rowOff>28575</xdr:rowOff>
    </xdr:from>
    <xdr:to>
      <xdr:col>12</xdr:col>
      <xdr:colOff>438150</xdr:colOff>
      <xdr:row>27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6C8350-843E-401F-BE62-BCE462005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0765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S66"/>
  <sheetViews>
    <sheetView showGridLines="0" tabSelected="1" workbookViewId="0">
      <selection activeCell="C33" sqref="C3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5"/>
      <c r="C3" s="145"/>
      <c r="D3" s="145"/>
      <c r="E3" s="145"/>
    </row>
    <row r="4" spans="2:5">
      <c r="B4" s="146" t="s">
        <v>111</v>
      </c>
      <c r="C4" s="146" t="s">
        <v>57</v>
      </c>
      <c r="D4" s="146" t="s">
        <v>10</v>
      </c>
      <c r="E4" s="146" t="s">
        <v>8</v>
      </c>
    </row>
    <row r="5" spans="2:5">
      <c r="B5" s="66" t="s">
        <v>128</v>
      </c>
      <c r="C5" s="147">
        <v>0.05</v>
      </c>
      <c r="D5" s="147">
        <v>0.95</v>
      </c>
      <c r="E5" s="147">
        <f>C5+D5</f>
        <v>1</v>
      </c>
    </row>
    <row r="6" spans="2:5">
      <c r="B6" s="66" t="s">
        <v>131</v>
      </c>
      <c r="C6" s="147">
        <v>0.3</v>
      </c>
      <c r="D6" s="147">
        <v>0.7</v>
      </c>
      <c r="E6" s="147">
        <f t="shared" ref="E6:E12" si="0">C6+D6</f>
        <v>1</v>
      </c>
    </row>
    <row r="7" spans="2:5">
      <c r="B7" s="66" t="s">
        <v>103</v>
      </c>
      <c r="C7" s="147">
        <v>0.05</v>
      </c>
      <c r="D7" s="147">
        <v>0.95</v>
      </c>
      <c r="E7" s="147">
        <f t="shared" si="0"/>
        <v>1</v>
      </c>
    </row>
    <row r="8" spans="2:5">
      <c r="B8" s="66" t="s">
        <v>104</v>
      </c>
      <c r="C8" s="147">
        <v>0.05</v>
      </c>
      <c r="D8" s="147">
        <v>0.95</v>
      </c>
      <c r="E8" s="147">
        <f t="shared" si="0"/>
        <v>1</v>
      </c>
    </row>
    <row r="9" spans="2:5">
      <c r="B9" s="66" t="s">
        <v>105</v>
      </c>
      <c r="C9" s="147">
        <v>0.05</v>
      </c>
      <c r="D9" s="147">
        <v>0.95</v>
      </c>
      <c r="E9" s="147">
        <f t="shared" si="0"/>
        <v>1</v>
      </c>
    </row>
    <row r="10" spans="2:5">
      <c r="B10" s="66" t="s">
        <v>106</v>
      </c>
      <c r="C10" s="147">
        <v>0.05</v>
      </c>
      <c r="D10" s="147">
        <v>0.95</v>
      </c>
      <c r="E10" s="147">
        <f t="shared" si="0"/>
        <v>1</v>
      </c>
    </row>
    <row r="11" spans="2:5">
      <c r="B11" s="66" t="s">
        <v>107</v>
      </c>
      <c r="C11" s="147">
        <v>0.05</v>
      </c>
      <c r="D11" s="147">
        <v>0.95</v>
      </c>
      <c r="E11" s="147">
        <f t="shared" si="0"/>
        <v>1</v>
      </c>
    </row>
    <row r="12" spans="2:5">
      <c r="B12" s="66" t="s">
        <v>108</v>
      </c>
      <c r="C12" s="147">
        <v>0.05</v>
      </c>
      <c r="D12" s="147">
        <v>0.95</v>
      </c>
      <c r="E12" s="147">
        <f t="shared" si="0"/>
        <v>1</v>
      </c>
    </row>
    <row r="13" spans="2:5">
      <c r="B13" s="66" t="s">
        <v>109</v>
      </c>
      <c r="C13" s="147">
        <v>0.05</v>
      </c>
      <c r="D13" s="147">
        <v>0.95</v>
      </c>
      <c r="E13" s="147">
        <f t="shared" ref="E13:E14" si="1">C13+D13</f>
        <v>1</v>
      </c>
    </row>
    <row r="14" spans="2:5">
      <c r="B14" s="66" t="s">
        <v>110</v>
      </c>
      <c r="C14" s="147">
        <v>0.05</v>
      </c>
      <c r="D14" s="147">
        <v>0.95</v>
      </c>
      <c r="E14" s="147">
        <f t="shared" si="1"/>
        <v>1</v>
      </c>
    </row>
    <row r="16" spans="2:5">
      <c r="B16" s="145"/>
      <c r="C16" s="145"/>
      <c r="D16" s="145"/>
      <c r="E16" s="145"/>
    </row>
    <row r="17" spans="2:14">
      <c r="B17" s="146" t="s">
        <v>112</v>
      </c>
      <c r="C17" s="146">
        <v>1</v>
      </c>
      <c r="D17" s="146">
        <v>2</v>
      </c>
      <c r="E17" s="146">
        <v>3</v>
      </c>
    </row>
    <row r="18" spans="2:14">
      <c r="B18" s="70" t="s">
        <v>117</v>
      </c>
      <c r="C18" s="94">
        <v>25000</v>
      </c>
      <c r="D18" s="94">
        <f>C18*1.03</f>
        <v>25750</v>
      </c>
      <c r="E18" s="94">
        <f>D18*1.03</f>
        <v>26522.5</v>
      </c>
    </row>
    <row r="19" spans="2:14">
      <c r="B19" s="70" t="s">
        <v>50</v>
      </c>
      <c r="C19" s="94">
        <f>'Profit and Loss Statement'!E6*0.0157</f>
        <v>6956.9525999999996</v>
      </c>
      <c r="D19" s="94">
        <f>'Profit and Loss Statement'!F6*0.0157</f>
        <v>7652.64786</v>
      </c>
      <c r="E19" s="94">
        <f>'Profit and Loss Statement'!G6*0.0157</f>
        <v>8417.9126460000007</v>
      </c>
    </row>
    <row r="20" spans="2:14">
      <c r="B20" s="70" t="s">
        <v>120</v>
      </c>
      <c r="C20" s="94">
        <f>'Profit and Loss Statement'!E6*0.0152</f>
        <v>6735.3936000000003</v>
      </c>
      <c r="D20" s="94">
        <f>'Profit and Loss Statement'!F6*0.0152</f>
        <v>7408.932960000001</v>
      </c>
      <c r="E20" s="94">
        <f>'Profit and Loss Statement'!G6*0.0152</f>
        <v>8149.8262560000021</v>
      </c>
    </row>
    <row r="21" spans="2:14">
      <c r="B21" s="70" t="s">
        <v>49</v>
      </c>
      <c r="C21" s="94">
        <f>'Personnel - Editable'!H16*0.03</f>
        <v>5925</v>
      </c>
      <c r="D21" s="94">
        <f>'Personnel - Editable'!I16*0.03</f>
        <v>6102.75</v>
      </c>
      <c r="E21" s="94">
        <f>'Personnel - Editable'!J16*0.03</f>
        <v>6285.8324999999995</v>
      </c>
      <c r="F21" s="120"/>
      <c r="G21" s="120"/>
    </row>
    <row r="22" spans="2:14">
      <c r="B22" s="70" t="s">
        <v>118</v>
      </c>
      <c r="C22" s="94">
        <f>'Profit and Loss Statement'!E6*0.012</f>
        <v>5317.4160000000002</v>
      </c>
      <c r="D22" s="94">
        <f>'Profit and Loss Statement'!F6*0.012</f>
        <v>5849.1576000000005</v>
      </c>
      <c r="E22" s="94">
        <f>'Profit and Loss Statement'!G6*0.012</f>
        <v>6434.0733600000021</v>
      </c>
      <c r="F22" s="1"/>
      <c r="G22" s="1"/>
    </row>
    <row r="23" spans="2:14">
      <c r="B23" s="70" t="s">
        <v>1</v>
      </c>
      <c r="C23" s="94">
        <v>5000</v>
      </c>
      <c r="D23" s="94">
        <f>C23*1.35</f>
        <v>6750</v>
      </c>
      <c r="E23" s="94">
        <f>D23*1.35</f>
        <v>9112.5</v>
      </c>
      <c r="F23" s="1"/>
      <c r="G23" s="1"/>
    </row>
    <row r="24" spans="2:14">
      <c r="F24" s="1"/>
      <c r="G24" s="1"/>
    </row>
    <row r="25" spans="2:14">
      <c r="F25" s="1"/>
      <c r="G25" s="1"/>
    </row>
    <row r="30" spans="2:14">
      <c r="B30" s="148" t="s">
        <v>113</v>
      </c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</row>
    <row r="31" spans="2:14">
      <c r="B31" s="150" t="s">
        <v>5</v>
      </c>
      <c r="C31" s="151">
        <v>1</v>
      </c>
      <c r="D31" s="151">
        <f>C31+1</f>
        <v>2</v>
      </c>
      <c r="E31" s="151">
        <f t="shared" ref="E31:N31" si="2">D31+1</f>
        <v>3</v>
      </c>
      <c r="F31" s="151">
        <f t="shared" si="2"/>
        <v>4</v>
      </c>
      <c r="G31" s="151">
        <f t="shared" si="2"/>
        <v>5</v>
      </c>
      <c r="H31" s="151">
        <f t="shared" si="2"/>
        <v>6</v>
      </c>
      <c r="I31" s="151">
        <f t="shared" si="2"/>
        <v>7</v>
      </c>
      <c r="J31" s="151">
        <f t="shared" si="2"/>
        <v>8</v>
      </c>
      <c r="K31" s="151">
        <f t="shared" si="2"/>
        <v>9</v>
      </c>
      <c r="L31" s="151">
        <f t="shared" si="2"/>
        <v>10</v>
      </c>
      <c r="M31" s="151">
        <f t="shared" si="2"/>
        <v>11</v>
      </c>
      <c r="N31" s="151">
        <f t="shared" si="2"/>
        <v>12</v>
      </c>
    </row>
    <row r="32" spans="2:14">
      <c r="B32" s="66" t="str">
        <f t="shared" ref="B32:B41" si="3">B5</f>
        <v>Yoga Studio Fees</v>
      </c>
      <c r="C32" s="94">
        <v>32000</v>
      </c>
      <c r="D32" s="94">
        <f>C32+20</f>
        <v>32020</v>
      </c>
      <c r="E32" s="94">
        <f t="shared" ref="E32:N32" si="4">D32+20</f>
        <v>32040</v>
      </c>
      <c r="F32" s="94">
        <f t="shared" si="4"/>
        <v>32060</v>
      </c>
      <c r="G32" s="94">
        <f t="shared" si="4"/>
        <v>32080</v>
      </c>
      <c r="H32" s="94">
        <f t="shared" si="4"/>
        <v>32100</v>
      </c>
      <c r="I32" s="94">
        <f t="shared" si="4"/>
        <v>32120</v>
      </c>
      <c r="J32" s="94">
        <f t="shared" si="4"/>
        <v>32140</v>
      </c>
      <c r="K32" s="94">
        <f t="shared" si="4"/>
        <v>32160</v>
      </c>
      <c r="L32" s="94">
        <f t="shared" si="4"/>
        <v>32180</v>
      </c>
      <c r="M32" s="94">
        <f t="shared" si="4"/>
        <v>32200</v>
      </c>
      <c r="N32" s="94">
        <f t="shared" si="4"/>
        <v>32220</v>
      </c>
    </row>
    <row r="33" spans="2:19">
      <c r="B33" s="66" t="str">
        <f t="shared" si="3"/>
        <v>Membership Income</v>
      </c>
      <c r="C33" s="94">
        <f>C32*0.15</f>
        <v>4800</v>
      </c>
      <c r="D33" s="94">
        <f t="shared" ref="D33:N33" si="5">D32*0.15</f>
        <v>4803</v>
      </c>
      <c r="E33" s="94">
        <f t="shared" si="5"/>
        <v>4806</v>
      </c>
      <c r="F33" s="94">
        <f t="shared" si="5"/>
        <v>4809</v>
      </c>
      <c r="G33" s="94">
        <f t="shared" si="5"/>
        <v>4812</v>
      </c>
      <c r="H33" s="94">
        <f t="shared" si="5"/>
        <v>4815</v>
      </c>
      <c r="I33" s="94">
        <f t="shared" si="5"/>
        <v>4818</v>
      </c>
      <c r="J33" s="94">
        <f t="shared" si="5"/>
        <v>4821</v>
      </c>
      <c r="K33" s="94">
        <f t="shared" si="5"/>
        <v>4824</v>
      </c>
      <c r="L33" s="94">
        <f t="shared" si="5"/>
        <v>4827</v>
      </c>
      <c r="M33" s="94">
        <f t="shared" si="5"/>
        <v>4830</v>
      </c>
      <c r="N33" s="94">
        <f t="shared" si="5"/>
        <v>4833</v>
      </c>
    </row>
    <row r="34" spans="2:19">
      <c r="B34" s="66" t="str">
        <f t="shared" si="3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2:19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S35" s="112" t="s">
        <v>132</v>
      </c>
    </row>
    <row r="36" spans="2:19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19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19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19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9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19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  <row r="42" spans="2:19">
      <c r="B42" s="152" t="s">
        <v>8</v>
      </c>
      <c r="C42" s="153">
        <f>SUM(C32:C41)</f>
        <v>36800</v>
      </c>
      <c r="D42" s="153">
        <f t="shared" ref="D42:N42" si="6">SUM(D32:D41)</f>
        <v>36823</v>
      </c>
      <c r="E42" s="153">
        <f t="shared" si="6"/>
        <v>36846</v>
      </c>
      <c r="F42" s="153">
        <f t="shared" si="6"/>
        <v>36869</v>
      </c>
      <c r="G42" s="153">
        <f t="shared" si="6"/>
        <v>36892</v>
      </c>
      <c r="H42" s="153">
        <f t="shared" si="6"/>
        <v>36915</v>
      </c>
      <c r="I42" s="153">
        <f t="shared" si="6"/>
        <v>36938</v>
      </c>
      <c r="J42" s="153">
        <f t="shared" si="6"/>
        <v>36961</v>
      </c>
      <c r="K42" s="153">
        <f t="shared" si="6"/>
        <v>36984</v>
      </c>
      <c r="L42" s="153">
        <f t="shared" si="6"/>
        <v>37007</v>
      </c>
      <c r="M42" s="153">
        <f t="shared" si="6"/>
        <v>37030</v>
      </c>
      <c r="N42" s="153">
        <f t="shared" si="6"/>
        <v>37053</v>
      </c>
      <c r="R42" s="154" t="s">
        <v>136</v>
      </c>
    </row>
    <row r="44" spans="2:19">
      <c r="B44" s="145"/>
      <c r="C44" s="145"/>
    </row>
    <row r="45" spans="2:19">
      <c r="B45" s="146" t="s">
        <v>124</v>
      </c>
      <c r="C45" s="146"/>
    </row>
    <row r="46" spans="2:19">
      <c r="B46" s="66" t="s">
        <v>3</v>
      </c>
      <c r="C46" s="144">
        <v>0.1</v>
      </c>
    </row>
    <row r="47" spans="2:19">
      <c r="B47" s="66" t="s">
        <v>4</v>
      </c>
      <c r="C47" s="144">
        <v>0.1</v>
      </c>
    </row>
    <row r="49" spans="2:14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</row>
    <row r="50" spans="2:14">
      <c r="B50" s="112" t="s">
        <v>5</v>
      </c>
      <c r="C50" s="112">
        <v>1</v>
      </c>
      <c r="D50" s="112">
        <f>C50+1</f>
        <v>2</v>
      </c>
      <c r="E50" s="112">
        <f t="shared" ref="E50:N50" si="7">D50+1</f>
        <v>3</v>
      </c>
      <c r="F50" s="112">
        <f t="shared" si="7"/>
        <v>4</v>
      </c>
      <c r="G50" s="112">
        <f t="shared" si="7"/>
        <v>5</v>
      </c>
      <c r="H50" s="112">
        <f t="shared" si="7"/>
        <v>6</v>
      </c>
      <c r="I50" s="112">
        <f t="shared" si="7"/>
        <v>7</v>
      </c>
      <c r="J50" s="112">
        <f t="shared" si="7"/>
        <v>8</v>
      </c>
      <c r="K50" s="112">
        <f t="shared" si="7"/>
        <v>9</v>
      </c>
      <c r="L50" s="112">
        <f t="shared" si="7"/>
        <v>10</v>
      </c>
      <c r="M50" s="112">
        <f t="shared" si="7"/>
        <v>11</v>
      </c>
      <c r="N50" s="112">
        <f t="shared" si="7"/>
        <v>12</v>
      </c>
    </row>
    <row r="51" spans="2:14">
      <c r="B51" s="112" t="str">
        <f t="shared" ref="B51:B60" si="8">B32</f>
        <v>Yoga Studio Fees</v>
      </c>
      <c r="C51" s="114">
        <f t="shared" ref="C51:N51" si="9">C32*($C$5/$E$5)</f>
        <v>1600</v>
      </c>
      <c r="D51" s="114">
        <f t="shared" si="9"/>
        <v>1601</v>
      </c>
      <c r="E51" s="114">
        <f t="shared" si="9"/>
        <v>1602</v>
      </c>
      <c r="F51" s="114">
        <f t="shared" si="9"/>
        <v>1603</v>
      </c>
      <c r="G51" s="114">
        <f t="shared" si="9"/>
        <v>1604</v>
      </c>
      <c r="H51" s="114">
        <f t="shared" si="9"/>
        <v>1605</v>
      </c>
      <c r="I51" s="114">
        <f t="shared" si="9"/>
        <v>1606</v>
      </c>
      <c r="J51" s="114">
        <f t="shared" si="9"/>
        <v>1607</v>
      </c>
      <c r="K51" s="114">
        <f t="shared" si="9"/>
        <v>1608</v>
      </c>
      <c r="L51" s="114">
        <f t="shared" si="9"/>
        <v>1609</v>
      </c>
      <c r="M51" s="114">
        <f t="shared" si="9"/>
        <v>1610</v>
      </c>
      <c r="N51" s="114">
        <f t="shared" si="9"/>
        <v>1611</v>
      </c>
    </row>
    <row r="52" spans="2:14">
      <c r="B52" s="112" t="str">
        <f t="shared" si="8"/>
        <v>Membership Income</v>
      </c>
      <c r="C52" s="114">
        <f t="shared" ref="C52:N52" si="10">C33*($C$6/$E$6)</f>
        <v>1440</v>
      </c>
      <c r="D52" s="114">
        <f t="shared" si="10"/>
        <v>1440.8999999999999</v>
      </c>
      <c r="E52" s="114">
        <f t="shared" si="10"/>
        <v>1441.8</v>
      </c>
      <c r="F52" s="114">
        <f t="shared" si="10"/>
        <v>1442.7</v>
      </c>
      <c r="G52" s="114">
        <f t="shared" si="10"/>
        <v>1443.6</v>
      </c>
      <c r="H52" s="114">
        <f t="shared" si="10"/>
        <v>1444.5</v>
      </c>
      <c r="I52" s="114">
        <f t="shared" si="10"/>
        <v>1445.3999999999999</v>
      </c>
      <c r="J52" s="114">
        <f t="shared" si="10"/>
        <v>1446.3</v>
      </c>
      <c r="K52" s="114">
        <f t="shared" si="10"/>
        <v>1447.2</v>
      </c>
      <c r="L52" s="114">
        <f t="shared" si="10"/>
        <v>1448.1</v>
      </c>
      <c r="M52" s="114">
        <f t="shared" si="10"/>
        <v>1449</v>
      </c>
      <c r="N52" s="114">
        <f t="shared" si="10"/>
        <v>1449.8999999999999</v>
      </c>
    </row>
    <row r="53" spans="2:14">
      <c r="B53" s="112" t="str">
        <f t="shared" si="8"/>
        <v>Item 3</v>
      </c>
      <c r="C53" s="114">
        <f t="shared" ref="C53:N53" si="11">C34*($C$7/$E$7)</f>
        <v>0</v>
      </c>
      <c r="D53" s="114">
        <f t="shared" si="11"/>
        <v>0</v>
      </c>
      <c r="E53" s="114">
        <f t="shared" si="11"/>
        <v>0</v>
      </c>
      <c r="F53" s="114">
        <f t="shared" si="11"/>
        <v>0</v>
      </c>
      <c r="G53" s="114">
        <f t="shared" si="11"/>
        <v>0</v>
      </c>
      <c r="H53" s="114">
        <f t="shared" si="11"/>
        <v>0</v>
      </c>
      <c r="I53" s="114">
        <f t="shared" si="11"/>
        <v>0</v>
      </c>
      <c r="J53" s="114">
        <f t="shared" si="11"/>
        <v>0</v>
      </c>
      <c r="K53" s="114">
        <f t="shared" si="11"/>
        <v>0</v>
      </c>
      <c r="L53" s="114">
        <f t="shared" si="11"/>
        <v>0</v>
      </c>
      <c r="M53" s="114">
        <f t="shared" si="11"/>
        <v>0</v>
      </c>
      <c r="N53" s="114">
        <f t="shared" si="11"/>
        <v>0</v>
      </c>
    </row>
    <row r="54" spans="2:14">
      <c r="B54" s="112" t="str">
        <f t="shared" si="8"/>
        <v>Item 4</v>
      </c>
      <c r="C54" s="114">
        <f t="shared" ref="C54:N54" si="12">C35*($C$8/$E$8)</f>
        <v>0</v>
      </c>
      <c r="D54" s="114">
        <f t="shared" si="12"/>
        <v>0</v>
      </c>
      <c r="E54" s="114">
        <f t="shared" si="12"/>
        <v>0</v>
      </c>
      <c r="F54" s="114">
        <f t="shared" si="12"/>
        <v>0</v>
      </c>
      <c r="G54" s="114">
        <f t="shared" si="12"/>
        <v>0</v>
      </c>
      <c r="H54" s="114">
        <f t="shared" si="12"/>
        <v>0</v>
      </c>
      <c r="I54" s="114">
        <f t="shared" si="12"/>
        <v>0</v>
      </c>
      <c r="J54" s="114">
        <f t="shared" si="12"/>
        <v>0</v>
      </c>
      <c r="K54" s="114">
        <f t="shared" si="12"/>
        <v>0</v>
      </c>
      <c r="L54" s="114">
        <f t="shared" si="12"/>
        <v>0</v>
      </c>
      <c r="M54" s="114">
        <f t="shared" si="12"/>
        <v>0</v>
      </c>
      <c r="N54" s="114">
        <f t="shared" si="12"/>
        <v>0</v>
      </c>
    </row>
    <row r="55" spans="2:14">
      <c r="B55" s="112" t="str">
        <f t="shared" si="8"/>
        <v>Item 5</v>
      </c>
      <c r="C55" s="114">
        <f t="shared" ref="C55:N55" si="13">C36*($C$9/$E$9)</f>
        <v>0</v>
      </c>
      <c r="D55" s="114">
        <f t="shared" si="13"/>
        <v>0</v>
      </c>
      <c r="E55" s="114">
        <f t="shared" si="13"/>
        <v>0</v>
      </c>
      <c r="F55" s="114">
        <f t="shared" si="13"/>
        <v>0</v>
      </c>
      <c r="G55" s="114">
        <f t="shared" si="13"/>
        <v>0</v>
      </c>
      <c r="H55" s="114">
        <f t="shared" si="13"/>
        <v>0</v>
      </c>
      <c r="I55" s="114">
        <f t="shared" si="13"/>
        <v>0</v>
      </c>
      <c r="J55" s="114">
        <f t="shared" si="13"/>
        <v>0</v>
      </c>
      <c r="K55" s="114">
        <f t="shared" si="13"/>
        <v>0</v>
      </c>
      <c r="L55" s="114">
        <f t="shared" si="13"/>
        <v>0</v>
      </c>
      <c r="M55" s="114">
        <f t="shared" si="13"/>
        <v>0</v>
      </c>
      <c r="N55" s="114">
        <f t="shared" si="13"/>
        <v>0</v>
      </c>
    </row>
    <row r="56" spans="2:14">
      <c r="B56" s="112" t="str">
        <f t="shared" si="8"/>
        <v>Item 6</v>
      </c>
      <c r="C56" s="114">
        <f t="shared" ref="C56:N56" si="14">C37*($C$10/$E$10)</f>
        <v>0</v>
      </c>
      <c r="D56" s="114">
        <f t="shared" si="14"/>
        <v>0</v>
      </c>
      <c r="E56" s="114">
        <f t="shared" si="14"/>
        <v>0</v>
      </c>
      <c r="F56" s="114">
        <f t="shared" si="14"/>
        <v>0</v>
      </c>
      <c r="G56" s="114">
        <f t="shared" si="14"/>
        <v>0</v>
      </c>
      <c r="H56" s="114">
        <f t="shared" si="14"/>
        <v>0</v>
      </c>
      <c r="I56" s="114">
        <f t="shared" si="14"/>
        <v>0</v>
      </c>
      <c r="J56" s="114">
        <f t="shared" si="14"/>
        <v>0</v>
      </c>
      <c r="K56" s="114">
        <f t="shared" si="14"/>
        <v>0</v>
      </c>
      <c r="L56" s="114">
        <f t="shared" si="14"/>
        <v>0</v>
      </c>
      <c r="M56" s="114">
        <f t="shared" si="14"/>
        <v>0</v>
      </c>
      <c r="N56" s="114">
        <f t="shared" si="14"/>
        <v>0</v>
      </c>
    </row>
    <row r="57" spans="2:14">
      <c r="B57" s="112" t="str">
        <f t="shared" si="8"/>
        <v>Item 7</v>
      </c>
      <c r="C57" s="114">
        <f t="shared" ref="C57:N57" si="15">C38*($C$11/$E$11)</f>
        <v>0</v>
      </c>
      <c r="D57" s="114">
        <f t="shared" si="15"/>
        <v>0</v>
      </c>
      <c r="E57" s="114">
        <f t="shared" si="15"/>
        <v>0</v>
      </c>
      <c r="F57" s="114">
        <f t="shared" si="15"/>
        <v>0</v>
      </c>
      <c r="G57" s="114">
        <f t="shared" si="15"/>
        <v>0</v>
      </c>
      <c r="H57" s="114">
        <f t="shared" si="15"/>
        <v>0</v>
      </c>
      <c r="I57" s="114">
        <f t="shared" si="15"/>
        <v>0</v>
      </c>
      <c r="J57" s="114">
        <f t="shared" si="15"/>
        <v>0</v>
      </c>
      <c r="K57" s="114">
        <f t="shared" si="15"/>
        <v>0</v>
      </c>
      <c r="L57" s="114">
        <f t="shared" si="15"/>
        <v>0</v>
      </c>
      <c r="M57" s="114">
        <f t="shared" si="15"/>
        <v>0</v>
      </c>
      <c r="N57" s="114">
        <f t="shared" si="15"/>
        <v>0</v>
      </c>
    </row>
    <row r="58" spans="2:14">
      <c r="B58" s="112" t="str">
        <f t="shared" si="8"/>
        <v>Item 8</v>
      </c>
      <c r="C58" s="114">
        <f t="shared" ref="C58:N58" si="16">C39*($C$12/$E$12)</f>
        <v>0</v>
      </c>
      <c r="D58" s="114">
        <f t="shared" si="16"/>
        <v>0</v>
      </c>
      <c r="E58" s="114">
        <f t="shared" si="16"/>
        <v>0</v>
      </c>
      <c r="F58" s="114">
        <f t="shared" si="16"/>
        <v>0</v>
      </c>
      <c r="G58" s="114">
        <f t="shared" si="16"/>
        <v>0</v>
      </c>
      <c r="H58" s="114">
        <f t="shared" si="16"/>
        <v>0</v>
      </c>
      <c r="I58" s="114">
        <f t="shared" si="16"/>
        <v>0</v>
      </c>
      <c r="J58" s="114">
        <f t="shared" si="16"/>
        <v>0</v>
      </c>
      <c r="K58" s="114">
        <f t="shared" si="16"/>
        <v>0</v>
      </c>
      <c r="L58" s="114">
        <f t="shared" si="16"/>
        <v>0</v>
      </c>
      <c r="M58" s="114">
        <f t="shared" si="16"/>
        <v>0</v>
      </c>
      <c r="N58" s="114">
        <f t="shared" si="16"/>
        <v>0</v>
      </c>
    </row>
    <row r="59" spans="2:14">
      <c r="B59" s="112" t="str">
        <f t="shared" si="8"/>
        <v>Item 9</v>
      </c>
      <c r="C59" s="114">
        <f t="shared" ref="C59:N59" si="17">C40*($C$13/$E$13)</f>
        <v>0</v>
      </c>
      <c r="D59" s="114">
        <f t="shared" si="17"/>
        <v>0</v>
      </c>
      <c r="E59" s="114">
        <f t="shared" si="17"/>
        <v>0</v>
      </c>
      <c r="F59" s="114">
        <f t="shared" si="17"/>
        <v>0</v>
      </c>
      <c r="G59" s="114">
        <f t="shared" si="17"/>
        <v>0</v>
      </c>
      <c r="H59" s="114">
        <f t="shared" si="17"/>
        <v>0</v>
      </c>
      <c r="I59" s="114">
        <f t="shared" si="17"/>
        <v>0</v>
      </c>
      <c r="J59" s="114">
        <f t="shared" si="17"/>
        <v>0</v>
      </c>
      <c r="K59" s="114">
        <f t="shared" si="17"/>
        <v>0</v>
      </c>
      <c r="L59" s="114">
        <f t="shared" si="17"/>
        <v>0</v>
      </c>
      <c r="M59" s="114">
        <f t="shared" si="17"/>
        <v>0</v>
      </c>
      <c r="N59" s="114">
        <f t="shared" si="17"/>
        <v>0</v>
      </c>
    </row>
    <row r="60" spans="2:14">
      <c r="B60" s="112" t="str">
        <f t="shared" si="8"/>
        <v>Item 10</v>
      </c>
      <c r="C60" s="114">
        <f t="shared" ref="C60:N60" si="18">C41*($C$14/$E$14)</f>
        <v>0</v>
      </c>
      <c r="D60" s="114">
        <f t="shared" si="18"/>
        <v>0</v>
      </c>
      <c r="E60" s="114">
        <f t="shared" si="18"/>
        <v>0</v>
      </c>
      <c r="F60" s="114">
        <f t="shared" si="18"/>
        <v>0</v>
      </c>
      <c r="G60" s="114">
        <f t="shared" si="18"/>
        <v>0</v>
      </c>
      <c r="H60" s="114">
        <f t="shared" si="18"/>
        <v>0</v>
      </c>
      <c r="I60" s="114">
        <f t="shared" si="18"/>
        <v>0</v>
      </c>
      <c r="J60" s="114">
        <f t="shared" si="18"/>
        <v>0</v>
      </c>
      <c r="K60" s="114">
        <f t="shared" si="18"/>
        <v>0</v>
      </c>
      <c r="L60" s="114">
        <f t="shared" si="18"/>
        <v>0</v>
      </c>
      <c r="M60" s="114">
        <f t="shared" si="18"/>
        <v>0</v>
      </c>
      <c r="N60" s="114">
        <f t="shared" si="18"/>
        <v>0</v>
      </c>
    </row>
    <row r="61" spans="2:14">
      <c r="B61" s="112" t="s">
        <v>8</v>
      </c>
      <c r="C61" s="114">
        <f>SUM(C51:C60)</f>
        <v>3040</v>
      </c>
      <c r="D61" s="114">
        <f t="shared" ref="D61:N61" si="19">SUM(D51:D60)</f>
        <v>3041.8999999999996</v>
      </c>
      <c r="E61" s="114">
        <f t="shared" si="19"/>
        <v>3043.8</v>
      </c>
      <c r="F61" s="114">
        <f t="shared" si="19"/>
        <v>3045.7</v>
      </c>
      <c r="G61" s="114">
        <f t="shared" si="19"/>
        <v>3047.6</v>
      </c>
      <c r="H61" s="114">
        <f t="shared" si="19"/>
        <v>3049.5</v>
      </c>
      <c r="I61" s="114">
        <f t="shared" si="19"/>
        <v>3051.3999999999996</v>
      </c>
      <c r="J61" s="114">
        <f t="shared" si="19"/>
        <v>3053.3</v>
      </c>
      <c r="K61" s="114">
        <f t="shared" si="19"/>
        <v>3055.2</v>
      </c>
      <c r="L61" s="114">
        <f t="shared" si="19"/>
        <v>3057.1</v>
      </c>
      <c r="M61" s="114">
        <f t="shared" si="19"/>
        <v>3059</v>
      </c>
      <c r="N61" s="114">
        <f t="shared" si="19"/>
        <v>3060.8999999999996</v>
      </c>
    </row>
    <row r="62" spans="2:14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14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14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20">D65+1</f>
        <v>3</v>
      </c>
      <c r="F65" s="112">
        <f t="shared" si="20"/>
        <v>4</v>
      </c>
      <c r="G65" s="112">
        <f t="shared" si="20"/>
        <v>5</v>
      </c>
      <c r="H65" s="112">
        <f t="shared" si="20"/>
        <v>6</v>
      </c>
      <c r="I65" s="112">
        <f t="shared" si="20"/>
        <v>7</v>
      </c>
      <c r="J65" s="112">
        <f t="shared" si="20"/>
        <v>8</v>
      </c>
      <c r="K65" s="112">
        <f t="shared" si="20"/>
        <v>9</v>
      </c>
      <c r="L65" s="112">
        <f t="shared" si="20"/>
        <v>10</v>
      </c>
      <c r="M65" s="112">
        <f t="shared" si="20"/>
        <v>11</v>
      </c>
      <c r="N65" s="112">
        <f t="shared" si="20"/>
        <v>12</v>
      </c>
    </row>
    <row r="66" spans="2:14">
      <c r="B66" s="112" t="s">
        <v>8</v>
      </c>
      <c r="C66" s="114">
        <f t="shared" ref="C66:N66" si="21">C42-C61</f>
        <v>33760</v>
      </c>
      <c r="D66" s="114">
        <f t="shared" si="21"/>
        <v>33781.1</v>
      </c>
      <c r="E66" s="114">
        <f t="shared" si="21"/>
        <v>33802.199999999997</v>
      </c>
      <c r="F66" s="114">
        <f t="shared" si="21"/>
        <v>33823.300000000003</v>
      </c>
      <c r="G66" s="114">
        <f t="shared" si="21"/>
        <v>33844.400000000001</v>
      </c>
      <c r="H66" s="114">
        <f t="shared" si="21"/>
        <v>33865.5</v>
      </c>
      <c r="I66" s="114">
        <f t="shared" si="21"/>
        <v>33886.6</v>
      </c>
      <c r="J66" s="114">
        <f t="shared" si="21"/>
        <v>33907.699999999997</v>
      </c>
      <c r="K66" s="114">
        <f t="shared" si="21"/>
        <v>33928.800000000003</v>
      </c>
      <c r="L66" s="114">
        <f t="shared" si="21"/>
        <v>33949.9</v>
      </c>
      <c r="M66" s="114">
        <f t="shared" si="21"/>
        <v>33971</v>
      </c>
      <c r="N66" s="114">
        <f t="shared" si="21"/>
        <v>33992.1</v>
      </c>
    </row>
  </sheetData>
  <sheetProtection algorithmName="SHA-512" hashValue="Vjd5vBls4NaoNLnBdCUAtwBaF8LGZvtbCa+Jx1d0BOE6WY1KdNcPZDZpLYyJmuNZUVi87RJfqeuh2DcSXSiwdw==" saltValue="M9j0u9Ekol+9yun50PmhtA==" spinCount="100000" sheet="1" objects="1" scenarios="1" selectLockedCells="1"/>
  <hyperlinks>
    <hyperlink ref="R42" r:id="rId1" xr:uid="{2CF4D17D-C917-409A-AAC3-D487D32EBDAD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M32" sqref="M32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60000</v>
      </c>
      <c r="C5" s="55"/>
      <c r="D5" s="56" t="s">
        <v>36</v>
      </c>
      <c r="E5" s="59">
        <f>PMT(B6/B8,(B7*B8),-B5)</f>
        <v>760.05464250149691</v>
      </c>
    </row>
    <row r="6" spans="1:5">
      <c r="A6" s="60" t="s">
        <v>39</v>
      </c>
      <c r="B6" s="54">
        <v>0.09</v>
      </c>
      <c r="C6" s="55"/>
      <c r="D6" s="56" t="s">
        <v>38</v>
      </c>
      <c r="E6" s="59">
        <f>SUM(D14:D600)</f>
        <v>31206.557100179616</v>
      </c>
    </row>
    <row r="7" spans="1:5">
      <c r="A7" s="60" t="s">
        <v>40</v>
      </c>
      <c r="B7" s="60">
        <v>10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760.05464250149691</v>
      </c>
      <c r="C14" s="1">
        <f>B14-D14</f>
        <v>310.05464250149691</v>
      </c>
      <c r="D14" s="1">
        <f>(B5*($B$6/$B$8))</f>
        <v>450</v>
      </c>
      <c r="E14" s="1">
        <f>B5-C14</f>
        <v>59689.945357498502</v>
      </c>
    </row>
    <row r="15" spans="1:5">
      <c r="A15">
        <f>IF(($B$7*$B$8&gt;A14),IF(($B$7*$B$8)=A14,"",A14+1),"")</f>
        <v>2</v>
      </c>
      <c r="B15" s="1">
        <f>IF(A15="","",$B$14)</f>
        <v>760.05464250149691</v>
      </c>
      <c r="C15" s="1">
        <f>IF(A15="","",B15-D15)</f>
        <v>312.38005232025819</v>
      </c>
      <c r="D15" s="1">
        <f>IF(A15="","",(E14*($B$6/$B$8)))</f>
        <v>447.67459018123873</v>
      </c>
      <c r="E15" s="1">
        <f>IF(A15="","",E14-C15)</f>
        <v>59377.565305178243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760.05464250149691</v>
      </c>
      <c r="C16" s="1">
        <f t="shared" ref="C16:C79" si="2">IF(A16="","",B16-D16)</f>
        <v>314.72290271266013</v>
      </c>
      <c r="D16" s="1">
        <f t="shared" ref="D16:D79" si="3">IF(A16="","",(E15*($B$6/$B$8)))</f>
        <v>445.33173978883679</v>
      </c>
      <c r="E16" s="1">
        <f t="shared" ref="E16:E79" si="4">IF(A16="","",E15-C16)</f>
        <v>59062.842402465583</v>
      </c>
    </row>
    <row r="17" spans="1:5">
      <c r="A17">
        <f t="shared" si="0"/>
        <v>4</v>
      </c>
      <c r="B17" s="1">
        <f t="shared" si="1"/>
        <v>760.05464250149691</v>
      </c>
      <c r="C17" s="1">
        <f t="shared" si="2"/>
        <v>317.08332448300507</v>
      </c>
      <c r="D17" s="1">
        <f t="shared" si="3"/>
        <v>442.97131801849184</v>
      </c>
      <c r="E17" s="1">
        <f t="shared" si="4"/>
        <v>58745.759077982577</v>
      </c>
    </row>
    <row r="18" spans="1:5">
      <c r="A18">
        <f t="shared" si="0"/>
        <v>5</v>
      </c>
      <c r="B18" s="1">
        <f t="shared" si="1"/>
        <v>760.05464250149691</v>
      </c>
      <c r="C18" s="1">
        <f t="shared" si="2"/>
        <v>319.4614494166276</v>
      </c>
      <c r="D18" s="1">
        <f t="shared" si="3"/>
        <v>440.59319308486931</v>
      </c>
      <c r="E18" s="1">
        <f t="shared" si="4"/>
        <v>58426.297628565946</v>
      </c>
    </row>
    <row r="19" spans="1:5">
      <c r="A19">
        <f t="shared" si="0"/>
        <v>6</v>
      </c>
      <c r="B19" s="1">
        <f t="shared" si="1"/>
        <v>760.05464250149691</v>
      </c>
      <c r="C19" s="1">
        <f t="shared" si="2"/>
        <v>321.85741028725232</v>
      </c>
      <c r="D19" s="1">
        <f t="shared" si="3"/>
        <v>438.19723221424459</v>
      </c>
      <c r="E19" s="1">
        <f t="shared" si="4"/>
        <v>58104.440218278694</v>
      </c>
    </row>
    <row r="20" spans="1:5">
      <c r="A20">
        <f t="shared" si="0"/>
        <v>7</v>
      </c>
      <c r="B20" s="1">
        <f t="shared" si="1"/>
        <v>760.05464250149691</v>
      </c>
      <c r="C20" s="1">
        <f t="shared" si="2"/>
        <v>324.27134086440674</v>
      </c>
      <c r="D20" s="1">
        <f t="shared" si="3"/>
        <v>435.78330163709018</v>
      </c>
      <c r="E20" s="1">
        <f t="shared" si="4"/>
        <v>57780.168877414289</v>
      </c>
    </row>
    <row r="21" spans="1:5">
      <c r="A21">
        <f t="shared" si="0"/>
        <v>8</v>
      </c>
      <c r="B21" s="1">
        <f t="shared" si="1"/>
        <v>760.05464250149691</v>
      </c>
      <c r="C21" s="1">
        <f t="shared" si="2"/>
        <v>326.70337592088975</v>
      </c>
      <c r="D21" s="1">
        <f t="shared" si="3"/>
        <v>433.35126658060716</v>
      </c>
      <c r="E21" s="1">
        <f t="shared" si="4"/>
        <v>57453.465501493403</v>
      </c>
    </row>
    <row r="22" spans="1:5">
      <c r="A22">
        <f t="shared" si="0"/>
        <v>9</v>
      </c>
      <c r="B22" s="1">
        <f t="shared" si="1"/>
        <v>760.05464250149691</v>
      </c>
      <c r="C22" s="1">
        <f t="shared" si="2"/>
        <v>329.15365124029643</v>
      </c>
      <c r="D22" s="1">
        <f t="shared" si="3"/>
        <v>430.90099126120049</v>
      </c>
      <c r="E22" s="1">
        <f t="shared" si="4"/>
        <v>57124.311850253107</v>
      </c>
    </row>
    <row r="23" spans="1:5">
      <c r="A23">
        <f t="shared" si="0"/>
        <v>10</v>
      </c>
      <c r="B23" s="1">
        <f t="shared" si="1"/>
        <v>760.05464250149691</v>
      </c>
      <c r="C23" s="1">
        <f t="shared" si="2"/>
        <v>331.6223036245986</v>
      </c>
      <c r="D23" s="1">
        <f t="shared" si="3"/>
        <v>428.43233887689831</v>
      </c>
      <c r="E23" s="1">
        <f t="shared" si="4"/>
        <v>56792.689546628506</v>
      </c>
    </row>
    <row r="24" spans="1:5">
      <c r="A24">
        <f t="shared" si="0"/>
        <v>11</v>
      </c>
      <c r="B24" s="1">
        <f t="shared" si="1"/>
        <v>760.05464250149691</v>
      </c>
      <c r="C24" s="1">
        <f t="shared" si="2"/>
        <v>334.10947090178314</v>
      </c>
      <c r="D24" s="1">
        <f t="shared" si="3"/>
        <v>425.94517159971377</v>
      </c>
      <c r="E24" s="1">
        <f t="shared" si="4"/>
        <v>56458.580075726721</v>
      </c>
    </row>
    <row r="25" spans="1:5">
      <c r="A25">
        <f t="shared" si="0"/>
        <v>12</v>
      </c>
      <c r="B25" s="1">
        <f t="shared" si="1"/>
        <v>760.05464250149691</v>
      </c>
      <c r="C25" s="1">
        <f t="shared" si="2"/>
        <v>336.61529193354653</v>
      </c>
      <c r="D25" s="1">
        <f t="shared" si="3"/>
        <v>423.43935056795038</v>
      </c>
      <c r="E25" s="1">
        <f t="shared" si="4"/>
        <v>56121.964783793177</v>
      </c>
    </row>
    <row r="26" spans="1:5">
      <c r="A26">
        <f t="shared" si="0"/>
        <v>13</v>
      </c>
      <c r="B26" s="1">
        <f t="shared" si="1"/>
        <v>760.05464250149691</v>
      </c>
      <c r="C26" s="1">
        <f t="shared" si="2"/>
        <v>339.13990662304809</v>
      </c>
      <c r="D26" s="1">
        <f t="shared" si="3"/>
        <v>420.91473587844882</v>
      </c>
      <c r="E26" s="1">
        <f t="shared" si="4"/>
        <v>55782.824877170126</v>
      </c>
    </row>
    <row r="27" spans="1:5">
      <c r="A27">
        <f t="shared" si="0"/>
        <v>14</v>
      </c>
      <c r="B27" s="1">
        <f t="shared" si="1"/>
        <v>760.05464250149691</v>
      </c>
      <c r="C27" s="1">
        <f t="shared" si="2"/>
        <v>341.68345592272101</v>
      </c>
      <c r="D27" s="1">
        <f t="shared" si="3"/>
        <v>418.37118657877591</v>
      </c>
      <c r="E27" s="1">
        <f t="shared" si="4"/>
        <v>55441.141421247405</v>
      </c>
    </row>
    <row r="28" spans="1:5">
      <c r="A28">
        <f t="shared" si="0"/>
        <v>15</v>
      </c>
      <c r="B28" s="1">
        <f t="shared" si="1"/>
        <v>760.05464250149691</v>
      </c>
      <c r="C28" s="1">
        <f t="shared" si="2"/>
        <v>344.24608184214139</v>
      </c>
      <c r="D28" s="1">
        <f t="shared" si="3"/>
        <v>415.80856065935552</v>
      </c>
      <c r="E28" s="1">
        <f t="shared" si="4"/>
        <v>55096.895339405266</v>
      </c>
    </row>
    <row r="29" spans="1:5">
      <c r="A29">
        <f t="shared" si="0"/>
        <v>16</v>
      </c>
      <c r="B29" s="1">
        <f t="shared" si="1"/>
        <v>760.05464250149691</v>
      </c>
      <c r="C29" s="1">
        <f t="shared" si="2"/>
        <v>346.82792745595742</v>
      </c>
      <c r="D29" s="1">
        <f t="shared" si="3"/>
        <v>413.22671504553949</v>
      </c>
      <c r="E29" s="1">
        <f t="shared" si="4"/>
        <v>54750.067411949305</v>
      </c>
    </row>
    <row r="30" spans="1:5">
      <c r="A30">
        <f t="shared" si="0"/>
        <v>17</v>
      </c>
      <c r="B30" s="1">
        <f t="shared" si="1"/>
        <v>760.05464250149691</v>
      </c>
      <c r="C30" s="1">
        <f t="shared" si="2"/>
        <v>349.42913691187715</v>
      </c>
      <c r="D30" s="1">
        <f t="shared" si="3"/>
        <v>410.62550558961976</v>
      </c>
      <c r="E30" s="1">
        <f t="shared" si="4"/>
        <v>54400.638275037425</v>
      </c>
    </row>
    <row r="31" spans="1:5">
      <c r="A31">
        <f t="shared" si="0"/>
        <v>18</v>
      </c>
      <c r="B31" s="1">
        <f t="shared" si="1"/>
        <v>760.05464250149691</v>
      </c>
      <c r="C31" s="1">
        <f t="shared" si="2"/>
        <v>352.04985543871624</v>
      </c>
      <c r="D31" s="1">
        <f t="shared" si="3"/>
        <v>408.00478706278068</v>
      </c>
      <c r="E31" s="1">
        <f t="shared" si="4"/>
        <v>54048.588419598709</v>
      </c>
    </row>
    <row r="32" spans="1:5">
      <c r="A32">
        <f t="shared" si="0"/>
        <v>19</v>
      </c>
      <c r="B32" s="1">
        <f t="shared" si="1"/>
        <v>760.05464250149691</v>
      </c>
      <c r="C32" s="1">
        <f t="shared" si="2"/>
        <v>354.69022935450658</v>
      </c>
      <c r="D32" s="1">
        <f t="shared" si="3"/>
        <v>405.36441314699033</v>
      </c>
      <c r="E32" s="1">
        <f t="shared" si="4"/>
        <v>53693.898190244203</v>
      </c>
    </row>
    <row r="33" spans="1:5">
      <c r="A33">
        <f t="shared" si="0"/>
        <v>20</v>
      </c>
      <c r="B33" s="1">
        <f t="shared" si="1"/>
        <v>760.05464250149691</v>
      </c>
      <c r="C33" s="1">
        <f t="shared" si="2"/>
        <v>357.35040607466539</v>
      </c>
      <c r="D33" s="1">
        <f t="shared" si="3"/>
        <v>402.70423642683153</v>
      </c>
      <c r="E33" s="1">
        <f t="shared" si="4"/>
        <v>53336.547784169539</v>
      </c>
    </row>
    <row r="34" spans="1:5">
      <c r="A34">
        <f t="shared" si="0"/>
        <v>21</v>
      </c>
      <c r="B34" s="1">
        <f t="shared" si="1"/>
        <v>760.05464250149691</v>
      </c>
      <c r="C34" s="1">
        <f t="shared" si="2"/>
        <v>360.03053412022541</v>
      </c>
      <c r="D34" s="1">
        <f t="shared" si="3"/>
        <v>400.0241083812715</v>
      </c>
      <c r="E34" s="1">
        <f t="shared" si="4"/>
        <v>52976.517250049314</v>
      </c>
    </row>
    <row r="35" spans="1:5">
      <c r="A35">
        <f t="shared" si="0"/>
        <v>22</v>
      </c>
      <c r="B35" s="1">
        <f t="shared" si="1"/>
        <v>760.05464250149691</v>
      </c>
      <c r="C35" s="1">
        <f t="shared" si="2"/>
        <v>362.7307631261271</v>
      </c>
      <c r="D35" s="1">
        <f t="shared" si="3"/>
        <v>397.32387937536981</v>
      </c>
      <c r="E35" s="1">
        <f t="shared" si="4"/>
        <v>52613.786486923185</v>
      </c>
    </row>
    <row r="36" spans="1:5">
      <c r="A36">
        <f t="shared" si="0"/>
        <v>23</v>
      </c>
      <c r="B36" s="1">
        <f t="shared" si="1"/>
        <v>760.05464250149691</v>
      </c>
      <c r="C36" s="1">
        <f t="shared" si="2"/>
        <v>365.45124384957302</v>
      </c>
      <c r="D36" s="1">
        <f t="shared" si="3"/>
        <v>394.6033986519239</v>
      </c>
      <c r="E36" s="1">
        <f t="shared" si="4"/>
        <v>52248.335243073612</v>
      </c>
    </row>
    <row r="37" spans="1:5">
      <c r="A37">
        <f t="shared" si="0"/>
        <v>24</v>
      </c>
      <c r="B37" s="1">
        <f t="shared" si="1"/>
        <v>760.05464250149691</v>
      </c>
      <c r="C37" s="1">
        <f t="shared" si="2"/>
        <v>368.19212817844482</v>
      </c>
      <c r="D37" s="1">
        <f t="shared" si="3"/>
        <v>391.8625143230521</v>
      </c>
      <c r="E37" s="1">
        <f t="shared" si="4"/>
        <v>51880.143114895167</v>
      </c>
    </row>
    <row r="38" spans="1:5">
      <c r="A38">
        <f t="shared" si="0"/>
        <v>25</v>
      </c>
      <c r="B38" s="1">
        <f t="shared" si="1"/>
        <v>760.05464250149691</v>
      </c>
      <c r="C38" s="1">
        <f t="shared" si="2"/>
        <v>370.95356913978316</v>
      </c>
      <c r="D38" s="1">
        <f t="shared" si="3"/>
        <v>389.10107336171376</v>
      </c>
      <c r="E38" s="1">
        <f t="shared" si="4"/>
        <v>51509.189545755384</v>
      </c>
    </row>
    <row r="39" spans="1:5">
      <c r="A39">
        <f t="shared" si="0"/>
        <v>26</v>
      </c>
      <c r="B39" s="1">
        <f t="shared" si="1"/>
        <v>760.05464250149691</v>
      </c>
      <c r="C39" s="1">
        <f t="shared" si="2"/>
        <v>373.73572090833153</v>
      </c>
      <c r="D39" s="1">
        <f t="shared" si="3"/>
        <v>386.31892159316538</v>
      </c>
      <c r="E39" s="1">
        <f t="shared" si="4"/>
        <v>51135.453824847049</v>
      </c>
    </row>
    <row r="40" spans="1:5">
      <c r="A40">
        <f t="shared" si="0"/>
        <v>27</v>
      </c>
      <c r="B40" s="1">
        <f t="shared" si="1"/>
        <v>760.05464250149691</v>
      </c>
      <c r="C40" s="1">
        <f t="shared" si="2"/>
        <v>376.53873881514409</v>
      </c>
      <c r="D40" s="1">
        <f t="shared" si="3"/>
        <v>383.51590368635283</v>
      </c>
      <c r="E40" s="1">
        <f t="shared" si="4"/>
        <v>50758.915086031906</v>
      </c>
    </row>
    <row r="41" spans="1:5">
      <c r="A41">
        <f t="shared" si="0"/>
        <v>28</v>
      </c>
      <c r="B41" s="1">
        <f t="shared" si="1"/>
        <v>760.05464250149691</v>
      </c>
      <c r="C41" s="1">
        <f t="shared" si="2"/>
        <v>379.36277935625765</v>
      </c>
      <c r="D41" s="1">
        <f t="shared" si="3"/>
        <v>380.69186314523927</v>
      </c>
      <c r="E41" s="1">
        <f t="shared" si="4"/>
        <v>50379.55230667565</v>
      </c>
    </row>
    <row r="42" spans="1:5">
      <c r="A42">
        <f t="shared" si="0"/>
        <v>29</v>
      </c>
      <c r="B42" s="1">
        <f t="shared" si="1"/>
        <v>760.05464250149691</v>
      </c>
      <c r="C42" s="1">
        <f t="shared" si="2"/>
        <v>382.20800020142957</v>
      </c>
      <c r="D42" s="1">
        <f t="shared" si="3"/>
        <v>377.84664230006734</v>
      </c>
      <c r="E42" s="1">
        <f t="shared" si="4"/>
        <v>49997.344306474224</v>
      </c>
    </row>
    <row r="43" spans="1:5">
      <c r="A43">
        <f t="shared" si="0"/>
        <v>30</v>
      </c>
      <c r="B43" s="1">
        <f t="shared" si="1"/>
        <v>760.05464250149691</v>
      </c>
      <c r="C43" s="1">
        <f t="shared" si="2"/>
        <v>385.07456020294023</v>
      </c>
      <c r="D43" s="1">
        <f t="shared" si="3"/>
        <v>374.98008229855668</v>
      </c>
      <c r="E43" s="1">
        <f t="shared" si="4"/>
        <v>49612.269746271282</v>
      </c>
    </row>
    <row r="44" spans="1:5">
      <c r="A44">
        <f t="shared" si="0"/>
        <v>31</v>
      </c>
      <c r="B44" s="1">
        <f t="shared" si="1"/>
        <v>760.05464250149691</v>
      </c>
      <c r="C44" s="1">
        <f t="shared" si="2"/>
        <v>387.96261940446232</v>
      </c>
      <c r="D44" s="1">
        <f t="shared" si="3"/>
        <v>372.0920230970346</v>
      </c>
      <c r="E44" s="1">
        <f t="shared" si="4"/>
        <v>49224.307126866821</v>
      </c>
    </row>
    <row r="45" spans="1:5">
      <c r="A45">
        <f t="shared" si="0"/>
        <v>32</v>
      </c>
      <c r="B45" s="1">
        <f t="shared" si="1"/>
        <v>760.05464250149691</v>
      </c>
      <c r="C45" s="1">
        <f t="shared" si="2"/>
        <v>390.87233904999579</v>
      </c>
      <c r="D45" s="1">
        <f t="shared" si="3"/>
        <v>369.18230345150113</v>
      </c>
      <c r="E45" s="1">
        <f t="shared" si="4"/>
        <v>48833.434787816826</v>
      </c>
    </row>
    <row r="46" spans="1:5">
      <c r="A46">
        <f t="shared" si="0"/>
        <v>33</v>
      </c>
      <c r="B46" s="1">
        <f t="shared" si="1"/>
        <v>760.05464250149691</v>
      </c>
      <c r="C46" s="1">
        <f t="shared" si="2"/>
        <v>393.80388159287071</v>
      </c>
      <c r="D46" s="1">
        <f t="shared" si="3"/>
        <v>366.25076090862621</v>
      </c>
      <c r="E46" s="1">
        <f t="shared" si="4"/>
        <v>48439.630906223952</v>
      </c>
    </row>
    <row r="47" spans="1:5">
      <c r="A47">
        <f t="shared" si="0"/>
        <v>34</v>
      </c>
      <c r="B47" s="1">
        <f t="shared" si="1"/>
        <v>760.05464250149691</v>
      </c>
      <c r="C47" s="1">
        <f t="shared" si="2"/>
        <v>396.75741070481729</v>
      </c>
      <c r="D47" s="1">
        <f t="shared" si="3"/>
        <v>363.29723179667963</v>
      </c>
      <c r="E47" s="1">
        <f t="shared" si="4"/>
        <v>48042.873495519132</v>
      </c>
    </row>
    <row r="48" spans="1:5">
      <c r="A48">
        <f t="shared" si="0"/>
        <v>35</v>
      </c>
      <c r="B48" s="1">
        <f t="shared" si="1"/>
        <v>760.05464250149691</v>
      </c>
      <c r="C48" s="1">
        <f t="shared" si="2"/>
        <v>399.73309128510346</v>
      </c>
      <c r="D48" s="1">
        <f t="shared" si="3"/>
        <v>360.32155121639346</v>
      </c>
      <c r="E48" s="1">
        <f t="shared" si="4"/>
        <v>47643.140404234029</v>
      </c>
    </row>
    <row r="49" spans="1:5">
      <c r="A49">
        <f t="shared" si="0"/>
        <v>36</v>
      </c>
      <c r="B49" s="1">
        <f t="shared" si="1"/>
        <v>760.05464250149691</v>
      </c>
      <c r="C49" s="1">
        <f t="shared" si="2"/>
        <v>402.73108946974173</v>
      </c>
      <c r="D49" s="1">
        <f t="shared" si="3"/>
        <v>357.32355303175518</v>
      </c>
      <c r="E49" s="1">
        <f t="shared" si="4"/>
        <v>47240.409314764285</v>
      </c>
    </row>
    <row r="50" spans="1:5">
      <c r="A50">
        <f t="shared" si="0"/>
        <v>37</v>
      </c>
      <c r="B50" s="1">
        <f t="shared" si="1"/>
        <v>760.05464250149691</v>
      </c>
      <c r="C50" s="1">
        <f t="shared" si="2"/>
        <v>405.75157264076478</v>
      </c>
      <c r="D50" s="1">
        <f t="shared" si="3"/>
        <v>354.30306986073214</v>
      </c>
      <c r="E50" s="1">
        <f t="shared" si="4"/>
        <v>46834.65774212352</v>
      </c>
    </row>
    <row r="51" spans="1:5">
      <c r="A51">
        <f t="shared" si="0"/>
        <v>38</v>
      </c>
      <c r="B51" s="1">
        <f t="shared" si="1"/>
        <v>760.05464250149691</v>
      </c>
      <c r="C51" s="1">
        <f t="shared" si="2"/>
        <v>408.79470943557055</v>
      </c>
      <c r="D51" s="1">
        <f t="shared" si="3"/>
        <v>351.25993306592636</v>
      </c>
      <c r="E51" s="1">
        <f t="shared" si="4"/>
        <v>46425.86303268795</v>
      </c>
    </row>
    <row r="52" spans="1:5">
      <c r="A52">
        <f t="shared" si="0"/>
        <v>39</v>
      </c>
      <c r="B52" s="1">
        <f t="shared" si="1"/>
        <v>760.05464250149691</v>
      </c>
      <c r="C52" s="1">
        <f t="shared" si="2"/>
        <v>411.8606697563373</v>
      </c>
      <c r="D52" s="1">
        <f t="shared" si="3"/>
        <v>348.19397274515961</v>
      </c>
      <c r="E52" s="1">
        <f t="shared" si="4"/>
        <v>46014.002362931613</v>
      </c>
    </row>
    <row r="53" spans="1:5">
      <c r="A53">
        <f t="shared" si="0"/>
        <v>40</v>
      </c>
      <c r="B53" s="1">
        <f t="shared" si="1"/>
        <v>760.05464250149691</v>
      </c>
      <c r="C53" s="1">
        <f t="shared" si="2"/>
        <v>414.9496247795098</v>
      </c>
      <c r="D53" s="1">
        <f t="shared" si="3"/>
        <v>345.10501772198711</v>
      </c>
      <c r="E53" s="1">
        <f t="shared" si="4"/>
        <v>45599.052738152102</v>
      </c>
    </row>
    <row r="54" spans="1:5">
      <c r="A54">
        <f t="shared" si="0"/>
        <v>41</v>
      </c>
      <c r="B54" s="1">
        <f t="shared" si="1"/>
        <v>760.05464250149691</v>
      </c>
      <c r="C54" s="1">
        <f t="shared" si="2"/>
        <v>418.06174696535618</v>
      </c>
      <c r="D54" s="1">
        <f t="shared" si="3"/>
        <v>341.99289553614074</v>
      </c>
      <c r="E54" s="1">
        <f t="shared" si="4"/>
        <v>45180.990991186743</v>
      </c>
    </row>
    <row r="55" spans="1:5">
      <c r="A55">
        <f t="shared" si="0"/>
        <v>42</v>
      </c>
      <c r="B55" s="1">
        <f t="shared" si="1"/>
        <v>760.05464250149691</v>
      </c>
      <c r="C55" s="1">
        <f t="shared" si="2"/>
        <v>421.19721006759636</v>
      </c>
      <c r="D55" s="1">
        <f t="shared" si="3"/>
        <v>338.85743243390056</v>
      </c>
      <c r="E55" s="1">
        <f t="shared" si="4"/>
        <v>44759.793781119144</v>
      </c>
    </row>
    <row r="56" spans="1:5">
      <c r="A56">
        <f t="shared" si="0"/>
        <v>43</v>
      </c>
      <c r="B56" s="1">
        <f t="shared" si="1"/>
        <v>760.05464250149691</v>
      </c>
      <c r="C56" s="1">
        <f t="shared" si="2"/>
        <v>424.35618914310334</v>
      </c>
      <c r="D56" s="1">
        <f t="shared" si="3"/>
        <v>335.69845335839358</v>
      </c>
      <c r="E56" s="1">
        <f t="shared" si="4"/>
        <v>44335.437591976042</v>
      </c>
    </row>
    <row r="57" spans="1:5">
      <c r="A57">
        <f t="shared" si="0"/>
        <v>44</v>
      </c>
      <c r="B57" s="1">
        <f t="shared" si="1"/>
        <v>760.05464250149691</v>
      </c>
      <c r="C57" s="1">
        <f t="shared" si="2"/>
        <v>427.53886056167659</v>
      </c>
      <c r="D57" s="1">
        <f t="shared" si="3"/>
        <v>332.51578193982033</v>
      </c>
      <c r="E57" s="1">
        <f t="shared" si="4"/>
        <v>43907.898731414367</v>
      </c>
    </row>
    <row r="58" spans="1:5">
      <c r="A58">
        <f t="shared" si="0"/>
        <v>45</v>
      </c>
      <c r="B58" s="1">
        <f t="shared" si="1"/>
        <v>760.05464250149691</v>
      </c>
      <c r="C58" s="1">
        <f t="shared" si="2"/>
        <v>430.74540201588917</v>
      </c>
      <c r="D58" s="1">
        <f t="shared" si="3"/>
        <v>329.30924048560775</v>
      </c>
      <c r="E58" s="1">
        <f t="shared" si="4"/>
        <v>43477.153329398476</v>
      </c>
    </row>
    <row r="59" spans="1:5">
      <c r="A59">
        <f t="shared" si="0"/>
        <v>46</v>
      </c>
      <c r="B59" s="1">
        <f t="shared" si="1"/>
        <v>760.05464250149691</v>
      </c>
      <c r="C59" s="1">
        <f t="shared" si="2"/>
        <v>433.97599253100833</v>
      </c>
      <c r="D59" s="1">
        <f t="shared" si="3"/>
        <v>326.07864997048858</v>
      </c>
      <c r="E59" s="1">
        <f t="shared" si="4"/>
        <v>43043.177336867469</v>
      </c>
    </row>
    <row r="60" spans="1:5">
      <c r="A60">
        <f t="shared" si="0"/>
        <v>47</v>
      </c>
      <c r="B60" s="1">
        <f t="shared" si="1"/>
        <v>760.05464250149691</v>
      </c>
      <c r="C60" s="1">
        <f t="shared" si="2"/>
        <v>437.2308124749909</v>
      </c>
      <c r="D60" s="1">
        <f t="shared" si="3"/>
        <v>322.82383002650602</v>
      </c>
      <c r="E60" s="1">
        <f t="shared" si="4"/>
        <v>42605.946524392479</v>
      </c>
    </row>
    <row r="61" spans="1:5">
      <c r="A61">
        <f t="shared" si="0"/>
        <v>48</v>
      </c>
      <c r="B61" s="1">
        <f t="shared" si="1"/>
        <v>760.05464250149691</v>
      </c>
      <c r="C61" s="1">
        <f t="shared" si="2"/>
        <v>440.51004356855333</v>
      </c>
      <c r="D61" s="1">
        <f t="shared" si="3"/>
        <v>319.54459893294359</v>
      </c>
      <c r="E61" s="1">
        <f t="shared" si="4"/>
        <v>42165.436480823926</v>
      </c>
    </row>
    <row r="62" spans="1:5">
      <c r="A62">
        <f t="shared" si="0"/>
        <v>49</v>
      </c>
      <c r="B62" s="1">
        <f t="shared" si="1"/>
        <v>760.05464250149691</v>
      </c>
      <c r="C62" s="1">
        <f t="shared" si="2"/>
        <v>443.81386889531746</v>
      </c>
      <c r="D62" s="1">
        <f t="shared" si="3"/>
        <v>316.24077360617946</v>
      </c>
      <c r="E62" s="1">
        <f t="shared" si="4"/>
        <v>41721.622611928608</v>
      </c>
    </row>
    <row r="63" spans="1:5">
      <c r="A63">
        <f t="shared" si="0"/>
        <v>50</v>
      </c>
      <c r="B63" s="1">
        <f t="shared" si="1"/>
        <v>760.05464250149691</v>
      </c>
      <c r="C63" s="1">
        <f t="shared" si="2"/>
        <v>447.14247291203236</v>
      </c>
      <c r="D63" s="1">
        <f t="shared" si="3"/>
        <v>312.91216958946455</v>
      </c>
      <c r="E63" s="1">
        <f t="shared" si="4"/>
        <v>41274.480139016574</v>
      </c>
    </row>
    <row r="64" spans="1:5">
      <c r="A64">
        <f t="shared" si="0"/>
        <v>51</v>
      </c>
      <c r="B64" s="1">
        <f t="shared" si="1"/>
        <v>760.05464250149691</v>
      </c>
      <c r="C64" s="1">
        <f t="shared" si="2"/>
        <v>450.49604145887264</v>
      </c>
      <c r="D64" s="1">
        <f t="shared" si="3"/>
        <v>309.55860104262428</v>
      </c>
      <c r="E64" s="1">
        <f t="shared" si="4"/>
        <v>40823.984097557703</v>
      </c>
    </row>
    <row r="65" spans="1:5">
      <c r="A65">
        <f t="shared" si="0"/>
        <v>52</v>
      </c>
      <c r="B65" s="1">
        <f t="shared" si="1"/>
        <v>760.05464250149691</v>
      </c>
      <c r="C65" s="1">
        <f t="shared" si="2"/>
        <v>453.87476176981414</v>
      </c>
      <c r="D65" s="1">
        <f t="shared" si="3"/>
        <v>306.17988073168277</v>
      </c>
      <c r="E65" s="1">
        <f t="shared" si="4"/>
        <v>40370.109335787885</v>
      </c>
    </row>
    <row r="66" spans="1:5">
      <c r="A66">
        <f t="shared" si="0"/>
        <v>53</v>
      </c>
      <c r="B66" s="1">
        <f t="shared" si="1"/>
        <v>760.05464250149691</v>
      </c>
      <c r="C66" s="1">
        <f t="shared" si="2"/>
        <v>457.27882248308777</v>
      </c>
      <c r="D66" s="1">
        <f t="shared" si="3"/>
        <v>302.77582001840915</v>
      </c>
      <c r="E66" s="1">
        <f t="shared" si="4"/>
        <v>39912.830513304798</v>
      </c>
    </row>
    <row r="67" spans="1:5">
      <c r="A67">
        <f t="shared" si="0"/>
        <v>54</v>
      </c>
      <c r="B67" s="1">
        <f t="shared" si="1"/>
        <v>760.05464250149691</v>
      </c>
      <c r="C67" s="1">
        <f t="shared" si="2"/>
        <v>460.70841365171094</v>
      </c>
      <c r="D67" s="1">
        <f t="shared" si="3"/>
        <v>299.34622884978597</v>
      </c>
      <c r="E67" s="1">
        <f t="shared" si="4"/>
        <v>39452.12209965309</v>
      </c>
    </row>
    <row r="68" spans="1:5">
      <c r="A68">
        <f t="shared" si="0"/>
        <v>55</v>
      </c>
      <c r="B68" s="1">
        <f t="shared" si="1"/>
        <v>760.05464250149691</v>
      </c>
      <c r="C68" s="1">
        <f t="shared" si="2"/>
        <v>464.16372675409878</v>
      </c>
      <c r="D68" s="1">
        <f t="shared" si="3"/>
        <v>295.89091574739814</v>
      </c>
      <c r="E68" s="1">
        <f t="shared" si="4"/>
        <v>38987.958372898989</v>
      </c>
    </row>
    <row r="69" spans="1:5">
      <c r="A69">
        <f t="shared" si="0"/>
        <v>56</v>
      </c>
      <c r="B69" s="1">
        <f t="shared" si="1"/>
        <v>760.05464250149691</v>
      </c>
      <c r="C69" s="1">
        <f t="shared" si="2"/>
        <v>467.64495470475453</v>
      </c>
      <c r="D69" s="1">
        <f t="shared" si="3"/>
        <v>292.40968779674239</v>
      </c>
      <c r="E69" s="1">
        <f t="shared" si="4"/>
        <v>38520.313418194237</v>
      </c>
    </row>
    <row r="70" spans="1:5">
      <c r="A70">
        <f t="shared" si="0"/>
        <v>57</v>
      </c>
      <c r="B70" s="1">
        <f t="shared" si="1"/>
        <v>760.05464250149691</v>
      </c>
      <c r="C70" s="1">
        <f t="shared" si="2"/>
        <v>471.15229186504013</v>
      </c>
      <c r="D70" s="1">
        <f t="shared" si="3"/>
        <v>288.90235063645679</v>
      </c>
      <c r="E70" s="1">
        <f t="shared" si="4"/>
        <v>38049.1611263292</v>
      </c>
    </row>
    <row r="71" spans="1:5">
      <c r="A71">
        <f t="shared" si="0"/>
        <v>58</v>
      </c>
      <c r="B71" s="1">
        <f t="shared" si="1"/>
        <v>760.05464250149691</v>
      </c>
      <c r="C71" s="1">
        <f t="shared" si="2"/>
        <v>474.68593405402794</v>
      </c>
      <c r="D71" s="1">
        <f t="shared" si="3"/>
        <v>285.36870844746898</v>
      </c>
      <c r="E71" s="1">
        <f t="shared" si="4"/>
        <v>37574.475192275175</v>
      </c>
    </row>
    <row r="72" spans="1:5">
      <c r="A72">
        <f t="shared" si="0"/>
        <v>59</v>
      </c>
      <c r="B72" s="1">
        <f t="shared" si="1"/>
        <v>760.05464250149691</v>
      </c>
      <c r="C72" s="1">
        <f t="shared" si="2"/>
        <v>478.2460785594331</v>
      </c>
      <c r="D72" s="1">
        <f t="shared" si="3"/>
        <v>281.80856394206381</v>
      </c>
      <c r="E72" s="1">
        <f t="shared" si="4"/>
        <v>37096.229113715744</v>
      </c>
    </row>
    <row r="73" spans="1:5">
      <c r="A73">
        <f t="shared" si="0"/>
        <v>60</v>
      </c>
      <c r="B73" s="1">
        <f t="shared" si="1"/>
        <v>760.05464250149691</v>
      </c>
      <c r="C73" s="1">
        <f t="shared" si="2"/>
        <v>481.83292414862882</v>
      </c>
      <c r="D73" s="1">
        <f t="shared" si="3"/>
        <v>278.22171835286809</v>
      </c>
      <c r="E73" s="1">
        <f t="shared" si="4"/>
        <v>36614.396189567116</v>
      </c>
    </row>
    <row r="74" spans="1:5">
      <c r="A74">
        <f t="shared" si="0"/>
        <v>61</v>
      </c>
      <c r="B74" s="1">
        <f t="shared" si="1"/>
        <v>760.05464250149691</v>
      </c>
      <c r="C74" s="1">
        <f t="shared" si="2"/>
        <v>485.44667107974357</v>
      </c>
      <c r="D74" s="1">
        <f t="shared" si="3"/>
        <v>274.60797142175335</v>
      </c>
      <c r="E74" s="1">
        <f t="shared" si="4"/>
        <v>36128.949518487374</v>
      </c>
    </row>
    <row r="75" spans="1:5">
      <c r="A75">
        <f t="shared" si="0"/>
        <v>62</v>
      </c>
      <c r="B75" s="1">
        <f t="shared" si="1"/>
        <v>760.05464250149691</v>
      </c>
      <c r="C75" s="1">
        <f t="shared" si="2"/>
        <v>489.08752111284161</v>
      </c>
      <c r="D75" s="1">
        <f t="shared" si="3"/>
        <v>270.9671213886553</v>
      </c>
      <c r="E75" s="1">
        <f t="shared" si="4"/>
        <v>35639.86199737453</v>
      </c>
    </row>
    <row r="76" spans="1:5">
      <c r="A76">
        <f t="shared" si="0"/>
        <v>63</v>
      </c>
      <c r="B76" s="1">
        <f t="shared" si="1"/>
        <v>760.05464250149691</v>
      </c>
      <c r="C76" s="1">
        <f t="shared" si="2"/>
        <v>492.75567752118798</v>
      </c>
      <c r="D76" s="1">
        <f t="shared" si="3"/>
        <v>267.29896498030894</v>
      </c>
      <c r="E76" s="1">
        <f t="shared" si="4"/>
        <v>35147.106319853345</v>
      </c>
    </row>
    <row r="77" spans="1:5">
      <c r="A77">
        <f t="shared" si="0"/>
        <v>64</v>
      </c>
      <c r="B77" s="1">
        <f t="shared" si="1"/>
        <v>760.05464250149691</v>
      </c>
      <c r="C77" s="1">
        <f t="shared" si="2"/>
        <v>496.45134510259686</v>
      </c>
      <c r="D77" s="1">
        <f t="shared" si="3"/>
        <v>263.60329739890005</v>
      </c>
      <c r="E77" s="1">
        <f t="shared" si="4"/>
        <v>34650.654974750745</v>
      </c>
    </row>
    <row r="78" spans="1:5">
      <c r="A78">
        <f t="shared" si="0"/>
        <v>65</v>
      </c>
      <c r="B78" s="1">
        <f t="shared" si="1"/>
        <v>760.05464250149691</v>
      </c>
      <c r="C78" s="1">
        <f t="shared" si="2"/>
        <v>500.17473019086634</v>
      </c>
      <c r="D78" s="1">
        <f t="shared" si="3"/>
        <v>259.87991231063057</v>
      </c>
      <c r="E78" s="1">
        <f t="shared" si="4"/>
        <v>34150.480244559876</v>
      </c>
    </row>
    <row r="79" spans="1:5">
      <c r="A79">
        <f t="shared" si="0"/>
        <v>66</v>
      </c>
      <c r="B79" s="1">
        <f t="shared" si="1"/>
        <v>760.05464250149691</v>
      </c>
      <c r="C79" s="1">
        <f t="shared" si="2"/>
        <v>503.92604066729785</v>
      </c>
      <c r="D79" s="1">
        <f t="shared" si="3"/>
        <v>256.12860183419906</v>
      </c>
      <c r="E79" s="1">
        <f t="shared" si="4"/>
        <v>33646.554203892578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760.05464250149691</v>
      </c>
      <c r="C80" s="1">
        <f t="shared" ref="C80:C143" si="7">IF(A80="","",B80-D80)</f>
        <v>507.7054859723026</v>
      </c>
      <c r="D80" s="1">
        <f t="shared" ref="D80:D143" si="8">IF(A80="","",(E79*($B$6/$B$8)))</f>
        <v>252.34915652919432</v>
      </c>
      <c r="E80" s="1">
        <f t="shared" ref="E80:E143" si="9">IF(A80="","",E79-C80)</f>
        <v>33138.848717920278</v>
      </c>
    </row>
    <row r="81" spans="1:5">
      <c r="A81">
        <f t="shared" si="5"/>
        <v>68</v>
      </c>
      <c r="B81" s="1">
        <f t="shared" si="6"/>
        <v>760.05464250149691</v>
      </c>
      <c r="C81" s="1">
        <f t="shared" si="7"/>
        <v>511.51327711709484</v>
      </c>
      <c r="D81" s="1">
        <f t="shared" si="8"/>
        <v>248.54136538440207</v>
      </c>
      <c r="E81" s="1">
        <f t="shared" si="9"/>
        <v>32627.335440803185</v>
      </c>
    </row>
    <row r="82" spans="1:5">
      <c r="A82">
        <f t="shared" si="5"/>
        <v>69</v>
      </c>
      <c r="B82" s="1">
        <f t="shared" si="6"/>
        <v>760.05464250149691</v>
      </c>
      <c r="C82" s="1">
        <f t="shared" si="7"/>
        <v>515.34962669547303</v>
      </c>
      <c r="D82" s="1">
        <f t="shared" si="8"/>
        <v>244.70501580602388</v>
      </c>
      <c r="E82" s="1">
        <f t="shared" si="9"/>
        <v>32111.985814107713</v>
      </c>
    </row>
    <row r="83" spans="1:5">
      <c r="A83">
        <f t="shared" si="5"/>
        <v>70</v>
      </c>
      <c r="B83" s="1">
        <f t="shared" si="6"/>
        <v>760.05464250149691</v>
      </c>
      <c r="C83" s="1">
        <f t="shared" si="7"/>
        <v>519.21474889568913</v>
      </c>
      <c r="D83" s="1">
        <f t="shared" si="8"/>
        <v>240.83989360580784</v>
      </c>
      <c r="E83" s="1">
        <f t="shared" si="9"/>
        <v>31592.771065212022</v>
      </c>
    </row>
    <row r="84" spans="1:5">
      <c r="A84">
        <f t="shared" si="5"/>
        <v>71</v>
      </c>
      <c r="B84" s="1">
        <f t="shared" si="6"/>
        <v>760.05464250149691</v>
      </c>
      <c r="C84" s="1">
        <f t="shared" si="7"/>
        <v>523.10885951240675</v>
      </c>
      <c r="D84" s="1">
        <f t="shared" si="8"/>
        <v>236.94578298909016</v>
      </c>
      <c r="E84" s="1">
        <f t="shared" si="9"/>
        <v>31069.662205699617</v>
      </c>
    </row>
    <row r="85" spans="1:5">
      <c r="A85">
        <f t="shared" si="5"/>
        <v>72</v>
      </c>
      <c r="B85" s="1">
        <f t="shared" si="6"/>
        <v>760.05464250149691</v>
      </c>
      <c r="C85" s="1">
        <f t="shared" si="7"/>
        <v>527.0321759587498</v>
      </c>
      <c r="D85" s="1">
        <f t="shared" si="8"/>
        <v>233.02246654274711</v>
      </c>
      <c r="E85" s="1">
        <f t="shared" si="9"/>
        <v>30542.630029740867</v>
      </c>
    </row>
    <row r="86" spans="1:5">
      <c r="A86">
        <f t="shared" si="5"/>
        <v>73</v>
      </c>
      <c r="B86" s="1">
        <f t="shared" si="6"/>
        <v>760.05464250149691</v>
      </c>
      <c r="C86" s="1">
        <f t="shared" si="7"/>
        <v>530.98491727844043</v>
      </c>
      <c r="D86" s="1">
        <f t="shared" si="8"/>
        <v>229.06972522305651</v>
      </c>
      <c r="E86" s="1">
        <f t="shared" si="9"/>
        <v>30011.645112462425</v>
      </c>
    </row>
    <row r="87" spans="1:5">
      <c r="A87">
        <f t="shared" si="5"/>
        <v>74</v>
      </c>
      <c r="B87" s="1">
        <f t="shared" si="6"/>
        <v>760.05464250149691</v>
      </c>
      <c r="C87" s="1">
        <f t="shared" si="7"/>
        <v>534.9673041580287</v>
      </c>
      <c r="D87" s="1">
        <f t="shared" si="8"/>
        <v>225.08733834346819</v>
      </c>
      <c r="E87" s="1">
        <f t="shared" si="9"/>
        <v>29476.677808304397</v>
      </c>
    </row>
    <row r="88" spans="1:5">
      <c r="A88">
        <f t="shared" si="5"/>
        <v>75</v>
      </c>
      <c r="B88" s="1">
        <f t="shared" si="6"/>
        <v>760.05464250149691</v>
      </c>
      <c r="C88" s="1">
        <f t="shared" si="7"/>
        <v>538.97955893921392</v>
      </c>
      <c r="D88" s="1">
        <f t="shared" si="8"/>
        <v>221.07508356228297</v>
      </c>
      <c r="E88" s="1">
        <f t="shared" si="9"/>
        <v>28937.698249365185</v>
      </c>
    </row>
    <row r="89" spans="1:5">
      <c r="A89">
        <f t="shared" si="5"/>
        <v>76</v>
      </c>
      <c r="B89" s="1">
        <f t="shared" si="6"/>
        <v>760.05464250149691</v>
      </c>
      <c r="C89" s="1">
        <f t="shared" si="7"/>
        <v>543.02190563125805</v>
      </c>
      <c r="D89" s="1">
        <f t="shared" si="8"/>
        <v>217.03273687023889</v>
      </c>
      <c r="E89" s="1">
        <f t="shared" si="9"/>
        <v>28394.676343733925</v>
      </c>
    </row>
    <row r="90" spans="1:5">
      <c r="A90">
        <f t="shared" si="5"/>
        <v>77</v>
      </c>
      <c r="B90" s="1">
        <f t="shared" si="6"/>
        <v>760.05464250149691</v>
      </c>
      <c r="C90" s="1">
        <f t="shared" si="7"/>
        <v>547.09456992349249</v>
      </c>
      <c r="D90" s="1">
        <f t="shared" si="8"/>
        <v>212.96007257800443</v>
      </c>
      <c r="E90" s="1">
        <f t="shared" si="9"/>
        <v>27847.581773810434</v>
      </c>
    </row>
    <row r="91" spans="1:5">
      <c r="A91">
        <f t="shared" si="5"/>
        <v>78</v>
      </c>
      <c r="B91" s="1">
        <f t="shared" si="6"/>
        <v>760.05464250149691</v>
      </c>
      <c r="C91" s="1">
        <f t="shared" si="7"/>
        <v>551.19777919791863</v>
      </c>
      <c r="D91" s="1">
        <f t="shared" si="8"/>
        <v>208.85686330357825</v>
      </c>
      <c r="E91" s="1">
        <f t="shared" si="9"/>
        <v>27296.383994612515</v>
      </c>
    </row>
    <row r="92" spans="1:5">
      <c r="A92">
        <f t="shared" si="5"/>
        <v>79</v>
      </c>
      <c r="B92" s="1">
        <f t="shared" si="6"/>
        <v>760.05464250149691</v>
      </c>
      <c r="C92" s="1">
        <f t="shared" si="7"/>
        <v>555.33176254190312</v>
      </c>
      <c r="D92" s="1">
        <f t="shared" si="8"/>
        <v>204.72287995959385</v>
      </c>
      <c r="E92" s="1">
        <f t="shared" si="9"/>
        <v>26741.052232070611</v>
      </c>
    </row>
    <row r="93" spans="1:5">
      <c r="A93">
        <f t="shared" si="5"/>
        <v>80</v>
      </c>
      <c r="B93" s="1">
        <f t="shared" si="6"/>
        <v>760.05464250149691</v>
      </c>
      <c r="C93" s="1">
        <f t="shared" si="7"/>
        <v>559.4967507609673</v>
      </c>
      <c r="D93" s="1">
        <f t="shared" si="8"/>
        <v>200.55789174052958</v>
      </c>
      <c r="E93" s="1">
        <f t="shared" si="9"/>
        <v>26181.555481309642</v>
      </c>
    </row>
    <row r="94" spans="1:5">
      <c r="A94">
        <f t="shared" si="5"/>
        <v>81</v>
      </c>
      <c r="B94" s="1">
        <f t="shared" si="6"/>
        <v>760.05464250149691</v>
      </c>
      <c r="C94" s="1">
        <f t="shared" si="7"/>
        <v>563.69297639167462</v>
      </c>
      <c r="D94" s="1">
        <f t="shared" si="8"/>
        <v>196.36166610982232</v>
      </c>
      <c r="E94" s="1">
        <f t="shared" si="9"/>
        <v>25617.862504917968</v>
      </c>
    </row>
    <row r="95" spans="1:5">
      <c r="A95">
        <f t="shared" si="5"/>
        <v>82</v>
      </c>
      <c r="B95" s="1">
        <f t="shared" si="6"/>
        <v>760.05464250149691</v>
      </c>
      <c r="C95" s="1">
        <f t="shared" si="7"/>
        <v>567.92067371461212</v>
      </c>
      <c r="D95" s="1">
        <f t="shared" si="8"/>
        <v>192.13396878688476</v>
      </c>
      <c r="E95" s="1">
        <f t="shared" si="9"/>
        <v>25049.941831203356</v>
      </c>
    </row>
    <row r="96" spans="1:5">
      <c r="A96">
        <f t="shared" si="5"/>
        <v>83</v>
      </c>
      <c r="B96" s="1">
        <f t="shared" si="6"/>
        <v>760.05464250149691</v>
      </c>
      <c r="C96" s="1">
        <f t="shared" si="7"/>
        <v>572.18007876747174</v>
      </c>
      <c r="D96" s="1">
        <f t="shared" si="8"/>
        <v>187.87456373402517</v>
      </c>
      <c r="E96" s="1">
        <f t="shared" si="9"/>
        <v>24477.761752435883</v>
      </c>
    </row>
    <row r="97" spans="1:5">
      <c r="A97">
        <f t="shared" si="5"/>
        <v>84</v>
      </c>
      <c r="B97" s="1">
        <f t="shared" si="6"/>
        <v>760.05464250149691</v>
      </c>
      <c r="C97" s="1">
        <f t="shared" si="7"/>
        <v>576.47142935822785</v>
      </c>
      <c r="D97" s="1">
        <f t="shared" si="8"/>
        <v>183.58321314326912</v>
      </c>
      <c r="E97" s="1">
        <f t="shared" si="9"/>
        <v>23901.290323077654</v>
      </c>
    </row>
    <row r="98" spans="1:5">
      <c r="A98">
        <f t="shared" si="5"/>
        <v>85</v>
      </c>
      <c r="B98" s="1">
        <f t="shared" si="6"/>
        <v>760.05464250149691</v>
      </c>
      <c r="C98" s="1">
        <f t="shared" si="7"/>
        <v>580.79496507841452</v>
      </c>
      <c r="D98" s="1">
        <f t="shared" si="8"/>
        <v>179.25967742308239</v>
      </c>
      <c r="E98" s="1">
        <f t="shared" si="9"/>
        <v>23320.49535799924</v>
      </c>
    </row>
    <row r="99" spans="1:5">
      <c r="A99">
        <f t="shared" si="5"/>
        <v>86</v>
      </c>
      <c r="B99" s="1">
        <f t="shared" si="6"/>
        <v>760.05464250149691</v>
      </c>
      <c r="C99" s="1">
        <f t="shared" si="7"/>
        <v>585.15092731650259</v>
      </c>
      <c r="D99" s="1">
        <f t="shared" si="8"/>
        <v>174.9037151849943</v>
      </c>
      <c r="E99" s="1">
        <f t="shared" si="9"/>
        <v>22735.344430682737</v>
      </c>
    </row>
    <row r="100" spans="1:5">
      <c r="A100">
        <f t="shared" si="5"/>
        <v>87</v>
      </c>
      <c r="B100" s="1">
        <f t="shared" si="6"/>
        <v>760.05464250149691</v>
      </c>
      <c r="C100" s="1">
        <f t="shared" si="7"/>
        <v>589.53955927137645</v>
      </c>
      <c r="D100" s="1">
        <f t="shared" si="8"/>
        <v>170.51508323012052</v>
      </c>
      <c r="E100" s="1">
        <f t="shared" si="9"/>
        <v>22145.804871411361</v>
      </c>
    </row>
    <row r="101" spans="1:5">
      <c r="A101">
        <f t="shared" si="5"/>
        <v>88</v>
      </c>
      <c r="B101" s="1">
        <f t="shared" si="6"/>
        <v>760.05464250149691</v>
      </c>
      <c r="C101" s="1">
        <f t="shared" si="7"/>
        <v>593.96110596591166</v>
      </c>
      <c r="D101" s="1">
        <f t="shared" si="8"/>
        <v>166.0935365355852</v>
      </c>
      <c r="E101" s="1">
        <f t="shared" si="9"/>
        <v>21551.84376544545</v>
      </c>
    </row>
    <row r="102" spans="1:5">
      <c r="A102">
        <f t="shared" si="5"/>
        <v>89</v>
      </c>
      <c r="B102" s="1">
        <f t="shared" si="6"/>
        <v>760.05464250149691</v>
      </c>
      <c r="C102" s="1">
        <f t="shared" si="7"/>
        <v>598.41581426065602</v>
      </c>
      <c r="D102" s="1">
        <f t="shared" si="8"/>
        <v>161.63882824084087</v>
      </c>
      <c r="E102" s="1">
        <f t="shared" si="9"/>
        <v>20953.427951184793</v>
      </c>
    </row>
    <row r="103" spans="1:5">
      <c r="A103">
        <f t="shared" si="5"/>
        <v>90</v>
      </c>
      <c r="B103" s="1">
        <f t="shared" si="6"/>
        <v>760.05464250149691</v>
      </c>
      <c r="C103" s="1">
        <f t="shared" si="7"/>
        <v>602.90393286761093</v>
      </c>
      <c r="D103" s="1">
        <f t="shared" si="8"/>
        <v>157.15070963388595</v>
      </c>
      <c r="E103" s="1">
        <f t="shared" si="9"/>
        <v>20350.524018317181</v>
      </c>
    </row>
    <row r="104" spans="1:5">
      <c r="A104">
        <f t="shared" si="5"/>
        <v>91</v>
      </c>
      <c r="B104" s="1">
        <f t="shared" si="6"/>
        <v>760.05464250149691</v>
      </c>
      <c r="C104" s="1">
        <f t="shared" si="7"/>
        <v>607.425712364118</v>
      </c>
      <c r="D104" s="1">
        <f t="shared" si="8"/>
        <v>152.62893013737886</v>
      </c>
      <c r="E104" s="1">
        <f t="shared" si="9"/>
        <v>19743.098305953063</v>
      </c>
    </row>
    <row r="105" spans="1:5">
      <c r="A105">
        <f t="shared" si="5"/>
        <v>92</v>
      </c>
      <c r="B105" s="1">
        <f t="shared" si="6"/>
        <v>760.05464250149691</v>
      </c>
      <c r="C105" s="1">
        <f t="shared" si="7"/>
        <v>611.98140520684899</v>
      </c>
      <c r="D105" s="1">
        <f t="shared" si="8"/>
        <v>148.07323729464795</v>
      </c>
      <c r="E105" s="1">
        <f t="shared" si="9"/>
        <v>19131.116900746212</v>
      </c>
    </row>
    <row r="106" spans="1:5">
      <c r="A106">
        <f t="shared" si="5"/>
        <v>93</v>
      </c>
      <c r="B106" s="1">
        <f t="shared" si="6"/>
        <v>760.05464250149691</v>
      </c>
      <c r="C106" s="1">
        <f t="shared" si="7"/>
        <v>616.57126574590029</v>
      </c>
      <c r="D106" s="1">
        <f t="shared" si="8"/>
        <v>143.48337675559659</v>
      </c>
      <c r="E106" s="1">
        <f t="shared" si="9"/>
        <v>18514.545635000311</v>
      </c>
    </row>
    <row r="107" spans="1:5">
      <c r="A107">
        <f t="shared" si="5"/>
        <v>94</v>
      </c>
      <c r="B107" s="1">
        <f t="shared" si="6"/>
        <v>760.05464250149691</v>
      </c>
      <c r="C107" s="1">
        <f t="shared" si="7"/>
        <v>621.19555023899454</v>
      </c>
      <c r="D107" s="1">
        <f t="shared" si="8"/>
        <v>138.85909226250234</v>
      </c>
      <c r="E107" s="1">
        <f t="shared" si="9"/>
        <v>17893.350084761318</v>
      </c>
    </row>
    <row r="108" spans="1:5">
      <c r="A108">
        <f t="shared" si="5"/>
        <v>95</v>
      </c>
      <c r="B108" s="1">
        <f t="shared" si="6"/>
        <v>760.05464250149691</v>
      </c>
      <c r="C108" s="1">
        <f t="shared" si="7"/>
        <v>625.85451686578699</v>
      </c>
      <c r="D108" s="1">
        <f t="shared" si="8"/>
        <v>134.20012563570987</v>
      </c>
      <c r="E108" s="1">
        <f t="shared" si="9"/>
        <v>17267.49556789553</v>
      </c>
    </row>
    <row r="109" spans="1:5">
      <c r="A109">
        <f t="shared" si="5"/>
        <v>96</v>
      </c>
      <c r="B109" s="1">
        <f t="shared" si="6"/>
        <v>760.05464250149691</v>
      </c>
      <c r="C109" s="1">
        <f t="shared" si="7"/>
        <v>630.54842574228041</v>
      </c>
      <c r="D109" s="1">
        <f t="shared" si="8"/>
        <v>129.50621675921647</v>
      </c>
      <c r="E109" s="1">
        <f t="shared" si="9"/>
        <v>16636.947142153251</v>
      </c>
    </row>
    <row r="110" spans="1:5">
      <c r="A110">
        <f t="shared" si="5"/>
        <v>97</v>
      </c>
      <c r="B110" s="1">
        <f t="shared" si="6"/>
        <v>760.05464250149691</v>
      </c>
      <c r="C110" s="1">
        <f t="shared" si="7"/>
        <v>635.27753893534759</v>
      </c>
      <c r="D110" s="1">
        <f t="shared" si="8"/>
        <v>124.77710356614938</v>
      </c>
      <c r="E110" s="1">
        <f t="shared" si="9"/>
        <v>16001.669603217902</v>
      </c>
    </row>
    <row r="111" spans="1:5">
      <c r="A111">
        <f t="shared" si="5"/>
        <v>98</v>
      </c>
      <c r="B111" s="1">
        <f t="shared" si="6"/>
        <v>760.05464250149691</v>
      </c>
      <c r="C111" s="1">
        <f t="shared" si="7"/>
        <v>640.04212047736269</v>
      </c>
      <c r="D111" s="1">
        <f t="shared" si="8"/>
        <v>120.01252202413427</v>
      </c>
      <c r="E111" s="1">
        <f t="shared" si="9"/>
        <v>15361.62748274054</v>
      </c>
    </row>
    <row r="112" spans="1:5">
      <c r="A112">
        <f t="shared" si="5"/>
        <v>99</v>
      </c>
      <c r="B112" s="1">
        <f t="shared" si="6"/>
        <v>760.05464250149691</v>
      </c>
      <c r="C112" s="1">
        <f t="shared" si="7"/>
        <v>644.8424363809429</v>
      </c>
      <c r="D112" s="1">
        <f t="shared" si="8"/>
        <v>115.21220612055404</v>
      </c>
      <c r="E112" s="1">
        <f t="shared" si="9"/>
        <v>14716.785046359597</v>
      </c>
    </row>
    <row r="113" spans="1:5">
      <c r="A113">
        <f t="shared" si="5"/>
        <v>100</v>
      </c>
      <c r="B113" s="1">
        <f t="shared" si="6"/>
        <v>760.05464250149691</v>
      </c>
      <c r="C113" s="1">
        <f t="shared" si="7"/>
        <v>649.67875465379996</v>
      </c>
      <c r="D113" s="1">
        <f t="shared" si="8"/>
        <v>110.37588784769697</v>
      </c>
      <c r="E113" s="1">
        <f t="shared" si="9"/>
        <v>14067.106291705797</v>
      </c>
    </row>
    <row r="114" spans="1:5">
      <c r="A114">
        <f t="shared" si="5"/>
        <v>101</v>
      </c>
      <c r="B114" s="1">
        <f t="shared" si="6"/>
        <v>760.05464250149691</v>
      </c>
      <c r="C114" s="1">
        <f t="shared" si="7"/>
        <v>654.55134531370345</v>
      </c>
      <c r="D114" s="1">
        <f t="shared" si="8"/>
        <v>105.50329718779348</v>
      </c>
      <c r="E114" s="1">
        <f t="shared" si="9"/>
        <v>13412.554946392094</v>
      </c>
    </row>
    <row r="115" spans="1:5">
      <c r="A115">
        <f t="shared" si="5"/>
        <v>102</v>
      </c>
      <c r="B115" s="1">
        <f t="shared" si="6"/>
        <v>760.05464250149691</v>
      </c>
      <c r="C115" s="1">
        <f t="shared" si="7"/>
        <v>659.46048040355618</v>
      </c>
      <c r="D115" s="1">
        <f t="shared" si="8"/>
        <v>100.5941620979407</v>
      </c>
      <c r="E115" s="1">
        <f t="shared" si="9"/>
        <v>12753.094465988539</v>
      </c>
    </row>
    <row r="116" spans="1:5">
      <c r="A116">
        <f t="shared" si="5"/>
        <v>103</v>
      </c>
      <c r="B116" s="1">
        <f t="shared" si="6"/>
        <v>760.05464250149691</v>
      </c>
      <c r="C116" s="1">
        <f t="shared" si="7"/>
        <v>664.40643400658291</v>
      </c>
      <c r="D116" s="1">
        <f t="shared" si="8"/>
        <v>95.648208494914044</v>
      </c>
      <c r="E116" s="1">
        <f t="shared" si="9"/>
        <v>12088.688031981956</v>
      </c>
    </row>
    <row r="117" spans="1:5">
      <c r="A117">
        <f t="shared" si="5"/>
        <v>104</v>
      </c>
      <c r="B117" s="1">
        <f t="shared" si="6"/>
        <v>760.05464250149691</v>
      </c>
      <c r="C117" s="1">
        <f t="shared" si="7"/>
        <v>669.38948226163222</v>
      </c>
      <c r="D117" s="1">
        <f t="shared" si="8"/>
        <v>90.665160239864662</v>
      </c>
      <c r="E117" s="1">
        <f t="shared" si="9"/>
        <v>11419.298549720323</v>
      </c>
    </row>
    <row r="118" spans="1:5">
      <c r="A118">
        <f t="shared" si="5"/>
        <v>105</v>
      </c>
      <c r="B118" s="1">
        <f t="shared" si="6"/>
        <v>760.05464250149691</v>
      </c>
      <c r="C118" s="1">
        <f t="shared" si="7"/>
        <v>674.40990337859444</v>
      </c>
      <c r="D118" s="1">
        <f t="shared" si="8"/>
        <v>85.644739122902422</v>
      </c>
      <c r="E118" s="1">
        <f t="shared" si="9"/>
        <v>10744.888646341728</v>
      </c>
    </row>
    <row r="119" spans="1:5">
      <c r="A119">
        <f t="shared" si="5"/>
        <v>106</v>
      </c>
      <c r="B119" s="1">
        <f t="shared" si="6"/>
        <v>760.05464250149691</v>
      </c>
      <c r="C119" s="1">
        <f t="shared" si="7"/>
        <v>679.46797765393399</v>
      </c>
      <c r="D119" s="1">
        <f t="shared" si="8"/>
        <v>80.586664847562957</v>
      </c>
      <c r="E119" s="1">
        <f t="shared" si="9"/>
        <v>10065.420668687793</v>
      </c>
    </row>
    <row r="120" spans="1:5">
      <c r="A120">
        <f t="shared" si="5"/>
        <v>107</v>
      </c>
      <c r="B120" s="1">
        <f t="shared" si="6"/>
        <v>760.05464250149691</v>
      </c>
      <c r="C120" s="1">
        <f t="shared" si="7"/>
        <v>684.56398748633842</v>
      </c>
      <c r="D120" s="1">
        <f t="shared" si="8"/>
        <v>75.490655015158453</v>
      </c>
      <c r="E120" s="1">
        <f t="shared" si="9"/>
        <v>9380.8566812014542</v>
      </c>
    </row>
    <row r="121" spans="1:5">
      <c r="A121">
        <f t="shared" si="5"/>
        <v>108</v>
      </c>
      <c r="B121" s="1">
        <f t="shared" si="6"/>
        <v>760.05464250149691</v>
      </c>
      <c r="C121" s="1">
        <f t="shared" si="7"/>
        <v>689.69821739248596</v>
      </c>
      <c r="D121" s="1">
        <f t="shared" si="8"/>
        <v>70.3564251090109</v>
      </c>
      <c r="E121" s="1">
        <f t="shared" si="9"/>
        <v>8691.158463808968</v>
      </c>
    </row>
    <row r="122" spans="1:5">
      <c r="A122">
        <f t="shared" si="5"/>
        <v>109</v>
      </c>
      <c r="B122" s="1">
        <f t="shared" si="6"/>
        <v>760.05464250149691</v>
      </c>
      <c r="C122" s="1">
        <f t="shared" si="7"/>
        <v>694.87095402292971</v>
      </c>
      <c r="D122" s="1">
        <f t="shared" si="8"/>
        <v>65.183688478567262</v>
      </c>
      <c r="E122" s="1">
        <f t="shared" si="9"/>
        <v>7996.2875097860378</v>
      </c>
    </row>
    <row r="123" spans="1:5">
      <c r="A123">
        <f t="shared" si="5"/>
        <v>110</v>
      </c>
      <c r="B123" s="1">
        <f t="shared" si="6"/>
        <v>760.05464250149691</v>
      </c>
      <c r="C123" s="1">
        <f t="shared" si="7"/>
        <v>700.08248617810159</v>
      </c>
      <c r="D123" s="1">
        <f t="shared" si="8"/>
        <v>59.972156323395282</v>
      </c>
      <c r="E123" s="1">
        <f t="shared" si="9"/>
        <v>7296.2050236079358</v>
      </c>
    </row>
    <row r="124" spans="1:5">
      <c r="A124">
        <f t="shared" si="5"/>
        <v>111</v>
      </c>
      <c r="B124" s="1">
        <f t="shared" si="6"/>
        <v>760.05464250149691</v>
      </c>
      <c r="C124" s="1">
        <f t="shared" si="7"/>
        <v>705.33310482443744</v>
      </c>
      <c r="D124" s="1">
        <f t="shared" si="8"/>
        <v>54.721537677059516</v>
      </c>
      <c r="E124" s="1">
        <f t="shared" si="9"/>
        <v>6590.8719187834986</v>
      </c>
    </row>
    <row r="125" spans="1:5">
      <c r="A125">
        <f t="shared" si="5"/>
        <v>112</v>
      </c>
      <c r="B125" s="1">
        <f t="shared" si="6"/>
        <v>760.05464250149691</v>
      </c>
      <c r="C125" s="1">
        <f t="shared" si="7"/>
        <v>710.62310311062072</v>
      </c>
      <c r="D125" s="1">
        <f t="shared" si="8"/>
        <v>49.431539390876239</v>
      </c>
      <c r="E125" s="1">
        <f t="shared" si="9"/>
        <v>5880.2488156728778</v>
      </c>
    </row>
    <row r="126" spans="1:5">
      <c r="A126">
        <f t="shared" si="5"/>
        <v>113</v>
      </c>
      <c r="B126" s="1">
        <f t="shared" si="6"/>
        <v>760.05464250149691</v>
      </c>
      <c r="C126" s="1">
        <f t="shared" si="7"/>
        <v>715.95277638395032</v>
      </c>
      <c r="D126" s="1">
        <f t="shared" si="8"/>
        <v>44.101866117546578</v>
      </c>
      <c r="E126" s="1">
        <f t="shared" si="9"/>
        <v>5164.2960392889272</v>
      </c>
    </row>
    <row r="127" spans="1:5">
      <c r="A127">
        <f t="shared" si="5"/>
        <v>114</v>
      </c>
      <c r="B127" s="1">
        <f t="shared" si="6"/>
        <v>760.05464250149691</v>
      </c>
      <c r="C127" s="1">
        <f t="shared" si="7"/>
        <v>721.32242220682997</v>
      </c>
      <c r="D127" s="1">
        <f t="shared" si="8"/>
        <v>38.732220294666952</v>
      </c>
      <c r="E127" s="1">
        <f t="shared" si="9"/>
        <v>4442.973617082097</v>
      </c>
    </row>
    <row r="128" spans="1:5">
      <c r="A128">
        <f t="shared" si="5"/>
        <v>115</v>
      </c>
      <c r="B128" s="1">
        <f t="shared" si="6"/>
        <v>760.05464250149691</v>
      </c>
      <c r="C128" s="1">
        <f t="shared" si="7"/>
        <v>726.73234037338125</v>
      </c>
      <c r="D128" s="1">
        <f t="shared" si="8"/>
        <v>33.322302128115723</v>
      </c>
      <c r="E128" s="1">
        <f t="shared" si="9"/>
        <v>3716.2412767087158</v>
      </c>
    </row>
    <row r="129" spans="1:5">
      <c r="A129">
        <f t="shared" si="5"/>
        <v>116</v>
      </c>
      <c r="B129" s="1">
        <f t="shared" si="6"/>
        <v>760.05464250149691</v>
      </c>
      <c r="C129" s="1">
        <f t="shared" si="7"/>
        <v>732.1828329261815</v>
      </c>
      <c r="D129" s="1">
        <f t="shared" si="8"/>
        <v>27.871809575315368</v>
      </c>
      <c r="E129" s="1">
        <f t="shared" si="9"/>
        <v>2984.0584437825341</v>
      </c>
    </row>
    <row r="130" spans="1:5">
      <c r="A130">
        <f t="shared" si="5"/>
        <v>117</v>
      </c>
      <c r="B130" s="1">
        <f t="shared" si="6"/>
        <v>760.05464250149691</v>
      </c>
      <c r="C130" s="1">
        <f t="shared" si="7"/>
        <v>737.67420417312792</v>
      </c>
      <c r="D130" s="1">
        <f t="shared" si="8"/>
        <v>22.380438328369006</v>
      </c>
      <c r="E130" s="1">
        <f t="shared" si="9"/>
        <v>2246.384239609406</v>
      </c>
    </row>
    <row r="131" spans="1:5">
      <c r="A131">
        <f t="shared" si="5"/>
        <v>118</v>
      </c>
      <c r="B131" s="1">
        <f t="shared" si="6"/>
        <v>760.05464250149691</v>
      </c>
      <c r="C131" s="1">
        <f t="shared" si="7"/>
        <v>743.20676070442642</v>
      </c>
      <c r="D131" s="1">
        <f t="shared" si="8"/>
        <v>16.847881797070546</v>
      </c>
      <c r="E131" s="1">
        <f t="shared" si="9"/>
        <v>1503.1774789049796</v>
      </c>
    </row>
    <row r="132" spans="1:5">
      <c r="A132">
        <f t="shared" si="5"/>
        <v>119</v>
      </c>
      <c r="B132" s="1">
        <f t="shared" si="6"/>
        <v>760.05464250149691</v>
      </c>
      <c r="C132" s="1">
        <f t="shared" si="7"/>
        <v>748.7808114097096</v>
      </c>
      <c r="D132" s="1">
        <f t="shared" si="8"/>
        <v>11.273831091787347</v>
      </c>
      <c r="E132" s="1">
        <f t="shared" si="9"/>
        <v>754.39666749526998</v>
      </c>
    </row>
    <row r="133" spans="1:5">
      <c r="A133">
        <f t="shared" si="5"/>
        <v>120</v>
      </c>
      <c r="B133" s="1">
        <f t="shared" si="6"/>
        <v>760.05464250149691</v>
      </c>
      <c r="C133" s="1">
        <f t="shared" si="7"/>
        <v>754.39666749528237</v>
      </c>
      <c r="D133" s="1">
        <f t="shared" si="8"/>
        <v>5.6579750062145244</v>
      </c>
      <c r="E133" s="1">
        <f t="shared" si="9"/>
        <v>-1.2391865311656147E-11</v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Q28" sqref="Q28"/>
    </sheetView>
  </sheetViews>
  <sheetFormatPr defaultRowHeight="15"/>
  <cols>
    <col min="5" max="5" width="19.5703125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7"/>
      <c r="J6" s="127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9"/>
      <c r="J7" s="129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9"/>
      <c r="J8" s="129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9"/>
      <c r="J9" s="129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P29" sqref="P29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7"/>
      <c r="K6" s="127"/>
    </row>
    <row r="7" spans="6:11">
      <c r="F7" s="66" t="s">
        <v>85</v>
      </c>
      <c r="G7" s="94">
        <f>'Profit and Loss Statement'!E21/'Profit and Loss Statement'!E8</f>
        <v>291635.10808530805</v>
      </c>
      <c r="H7" s="94">
        <f>'Profit and Loss Statement'!F21/'Profit and Loss Statement'!F8</f>
        <v>303578.745078673</v>
      </c>
      <c r="I7" s="94">
        <f>'Profit and Loss Statement'!G21/'Profit and Loss Statement'!G8</f>
        <v>316636.16851426539</v>
      </c>
      <c r="J7" s="128"/>
      <c r="K7" s="128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291635.10808530805</v>
      </c>
      <c r="H11" s="114">
        <f t="shared" ref="H11:K11" si="0">H7</f>
        <v>303578.745078673</v>
      </c>
      <c r="I11" s="114">
        <f t="shared" si="0"/>
        <v>316636.16851426539</v>
      </c>
      <c r="J11" s="114">
        <f t="shared" si="0"/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Q32" sqref="Q32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7"/>
      <c r="J6" s="127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0.1</v>
      </c>
      <c r="H8" s="101">
        <f>'Revenue Overview'!H5</f>
        <v>0.1</v>
      </c>
      <c r="I8" s="129"/>
      <c r="J8" s="129"/>
    </row>
    <row r="9" spans="5:10">
      <c r="E9" s="103" t="s">
        <v>12</v>
      </c>
      <c r="F9" s="104">
        <f>'Profit and Loss Statement'!E8</f>
        <v>0.91739130434782612</v>
      </c>
      <c r="G9" s="104">
        <f>'Profit and Loss Statement'!F8</f>
        <v>0.91739130434782612</v>
      </c>
      <c r="H9" s="101">
        <f>'Profit and Loss Statement'!G8</f>
        <v>0.91739130434782612</v>
      </c>
      <c r="I9" s="129"/>
      <c r="J9" s="129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0.20618667513920036</v>
      </c>
      <c r="G12" s="101">
        <f>'Profit and Loss Statement'!F28/'Profit and Loss Statement'!F6</f>
        <v>0.23060893594773246</v>
      </c>
      <c r="H12" s="101">
        <f>'Profit and Loss Statement'!G28/'Profit and Loss Statement'!G6</f>
        <v>0.25290455721601363</v>
      </c>
      <c r="I12" s="129"/>
      <c r="J12" s="129"/>
    </row>
    <row r="13" spans="5:10">
      <c r="E13" s="66" t="s">
        <v>92</v>
      </c>
      <c r="F13" s="105">
        <f>'Balance Sheet'!E10/'Balance Sheet'!E15</f>
        <v>1.5948044565653463</v>
      </c>
      <c r="G13" s="105">
        <f>'Balance Sheet'!F10/'Balance Sheet'!F15</f>
        <v>2.1502251256147087</v>
      </c>
      <c r="H13" s="105">
        <f>'Balance Sheet'!G10/'Balance Sheet'!G15</f>
        <v>2.8624224215476408</v>
      </c>
      <c r="I13" s="130"/>
      <c r="J13" s="130"/>
    </row>
    <row r="14" spans="5:10">
      <c r="E14" s="66" t="s">
        <v>93</v>
      </c>
      <c r="F14" s="105">
        <f>'Balance Sheet'!E17/'Balance Sheet'!E15</f>
        <v>0.59480445656534642</v>
      </c>
      <c r="G14" s="105">
        <f>'Balance Sheet'!F17/'Balance Sheet'!F15</f>
        <v>1.1502251256147085</v>
      </c>
      <c r="H14" s="105">
        <f>'Balance Sheet'!G17/'Balance Sheet'!G15</f>
        <v>1.8624224215476408</v>
      </c>
      <c r="I14" s="130"/>
      <c r="J14" s="130"/>
    </row>
    <row r="15" spans="5:10">
      <c r="E15" s="66" t="s">
        <v>94</v>
      </c>
      <c r="F15" s="105">
        <f>'Balance Sheet'!E10/'Balance Sheet'!E17</f>
        <v>2.6812247940683309</v>
      </c>
      <c r="G15" s="105">
        <f>'Balance Sheet'!F10/'Balance Sheet'!F17</f>
        <v>1.8693950234008108</v>
      </c>
      <c r="H15" s="105">
        <f>'Balance Sheet'!G10/'Balance Sheet'!G17</f>
        <v>1.5369351165612672</v>
      </c>
      <c r="I15" s="130"/>
      <c r="J15" s="130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0.60975934828969636</v>
      </c>
      <c r="G18" s="105">
        <f>'Balance Sheet'!F7/'Balance Sheet'!F10</f>
        <v>0.68398492346741435</v>
      </c>
      <c r="H18" s="105">
        <f>'Balance Sheet'!G7/'Balance Sheet'!G10</f>
        <v>0.73309505545040521</v>
      </c>
      <c r="I18" s="130"/>
      <c r="J18" s="130"/>
    </row>
    <row r="19" spans="5:10">
      <c r="E19" s="66" t="s">
        <v>96</v>
      </c>
      <c r="F19" s="105">
        <f>'Balance Sheet'!E7/'Balance Sheet'!E15</f>
        <v>0.97244692608478911</v>
      </c>
      <c r="G19" s="105">
        <f>'Balance Sheet'!F7/'Balance Sheet'!F15</f>
        <v>1.4707215679812879</v>
      </c>
      <c r="H19" s="105">
        <f>'Balance Sheet'!G7/'Balance Sheet'!G15</f>
        <v>2.0984277238469509</v>
      </c>
      <c r="I19" s="130"/>
      <c r="J19" s="130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C24" sqref="C24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1" width="11.7109375" customWidth="1"/>
    <col min="12" max="12" width="23.42578125" customWidth="1"/>
    <col min="13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115</v>
      </c>
      <c r="C5" s="14">
        <v>50000</v>
      </c>
      <c r="G5" s="11" t="s">
        <v>9</v>
      </c>
      <c r="H5" s="16">
        <v>1</v>
      </c>
      <c r="I5" s="16">
        <v>2</v>
      </c>
      <c r="J5" s="117">
        <v>3</v>
      </c>
      <c r="M5" s="43"/>
      <c r="N5" s="43"/>
    </row>
    <row r="6" spans="2:14">
      <c r="B6" s="4" t="s">
        <v>119</v>
      </c>
      <c r="C6" s="14">
        <v>45000</v>
      </c>
      <c r="G6" s="4" t="str">
        <f>B5</f>
        <v>Senior Management</v>
      </c>
      <c r="H6" s="14">
        <f t="shared" ref="H6:H15" si="0">H18*C5</f>
        <v>50000</v>
      </c>
      <c r="I6" s="14">
        <f t="shared" ref="I6:I15" si="1">D58*I18</f>
        <v>51500</v>
      </c>
      <c r="J6" s="14">
        <f t="shared" ref="J6:J15" si="2">E58*J18</f>
        <v>53045</v>
      </c>
      <c r="M6" s="118"/>
      <c r="N6" s="118"/>
    </row>
    <row r="7" spans="2:14">
      <c r="B7" s="4" t="s">
        <v>129</v>
      </c>
      <c r="C7" s="14">
        <v>35000</v>
      </c>
      <c r="G7" s="4" t="str">
        <f>B6</f>
        <v>Operational Managers</v>
      </c>
      <c r="H7" s="14">
        <f t="shared" si="0"/>
        <v>45000</v>
      </c>
      <c r="I7" s="14">
        <f t="shared" si="1"/>
        <v>46350</v>
      </c>
      <c r="J7" s="14">
        <f t="shared" si="2"/>
        <v>47740.5</v>
      </c>
      <c r="M7" s="118"/>
      <c r="N7" s="118"/>
    </row>
    <row r="8" spans="2:14">
      <c r="B8" s="4" t="s">
        <v>130</v>
      </c>
      <c r="C8" s="14">
        <v>30000</v>
      </c>
      <c r="G8" s="4" t="str">
        <f>B7</f>
        <v>Staff Instructors</v>
      </c>
      <c r="H8" s="14">
        <f t="shared" si="0"/>
        <v>35000</v>
      </c>
      <c r="I8" s="14">
        <f t="shared" si="1"/>
        <v>36050</v>
      </c>
      <c r="J8" s="14">
        <f t="shared" si="2"/>
        <v>37131.5</v>
      </c>
      <c r="M8" s="118"/>
      <c r="N8" s="118"/>
    </row>
    <row r="9" spans="2:14">
      <c r="B9" s="4" t="s">
        <v>125</v>
      </c>
      <c r="C9" s="14">
        <v>37500</v>
      </c>
      <c r="G9" s="4" t="str">
        <f>B8</f>
        <v>Support Staff</v>
      </c>
      <c r="H9" s="14">
        <f t="shared" si="0"/>
        <v>30000</v>
      </c>
      <c r="I9" s="14">
        <f t="shared" si="1"/>
        <v>30900</v>
      </c>
      <c r="J9" s="14">
        <f t="shared" si="2"/>
        <v>31827</v>
      </c>
      <c r="M9" s="118"/>
      <c r="N9" s="118"/>
    </row>
    <row r="10" spans="2:14">
      <c r="B10" s="4" t="s">
        <v>121</v>
      </c>
      <c r="C10" s="14">
        <v>0</v>
      </c>
      <c r="G10" s="4" t="str">
        <f>B9</f>
        <v>Administrative Staff</v>
      </c>
      <c r="H10" s="14">
        <f t="shared" si="0"/>
        <v>37500</v>
      </c>
      <c r="I10" s="14">
        <f t="shared" si="1"/>
        <v>38625</v>
      </c>
      <c r="J10" s="14">
        <f t="shared" si="2"/>
        <v>39783.75</v>
      </c>
      <c r="M10" s="118"/>
      <c r="N10" s="118"/>
    </row>
    <row r="11" spans="2:14">
      <c r="B11" s="4" t="s">
        <v>133</v>
      </c>
      <c r="C11" s="14">
        <v>0</v>
      </c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18"/>
      <c r="N11" s="118"/>
    </row>
    <row r="12" spans="2:14">
      <c r="B12" s="4" t="s">
        <v>134</v>
      </c>
      <c r="C12" s="14">
        <v>0</v>
      </c>
      <c r="G12" s="4" t="str">
        <f>B30</f>
        <v>Postion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8"/>
      <c r="N12" s="118"/>
    </row>
    <row r="13" spans="2:14">
      <c r="B13" s="4" t="s">
        <v>135</v>
      </c>
      <c r="C13" s="14">
        <v>0</v>
      </c>
      <c r="G13" s="4" t="str">
        <f>B31</f>
        <v>Postion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8"/>
      <c r="N13" s="118"/>
    </row>
    <row r="14" spans="2:14">
      <c r="B14" s="4" t="s">
        <v>122</v>
      </c>
      <c r="C14" s="14">
        <v>0</v>
      </c>
      <c r="G14" s="4" t="str">
        <f>B32</f>
        <v>Postion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8"/>
      <c r="N14" s="118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8"/>
      <c r="N15" s="118"/>
    </row>
    <row r="16" spans="2:14">
      <c r="G16" s="10" t="s">
        <v>8</v>
      </c>
      <c r="H16" s="9">
        <f>SUM(H6:H15)</f>
        <v>197500</v>
      </c>
      <c r="I16" s="9">
        <f t="shared" ref="I16:J16" si="3">SUM(I6:I15)</f>
        <v>203425</v>
      </c>
      <c r="J16" s="9">
        <f t="shared" si="3"/>
        <v>209527.75</v>
      </c>
      <c r="M16" s="119"/>
      <c r="N16" s="119"/>
    </row>
    <row r="17" spans="2:20">
      <c r="M17" s="30"/>
      <c r="N17" s="30"/>
    </row>
    <row r="18" spans="2:20">
      <c r="G18" s="4" t="str">
        <f>G6</f>
        <v>Senior Management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Operational Managers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Staff Instructors</v>
      </c>
      <c r="H20" s="4">
        <f t="shared" si="4"/>
        <v>1</v>
      </c>
      <c r="I20" s="4">
        <f t="shared" si="5"/>
        <v>1</v>
      </c>
      <c r="J20" s="4">
        <f t="shared" si="6"/>
        <v>1</v>
      </c>
      <c r="M20" s="30"/>
      <c r="N20" s="30"/>
    </row>
    <row r="21" spans="2:20">
      <c r="G21" s="4" t="str">
        <f>G9</f>
        <v>Support Staff</v>
      </c>
      <c r="H21" s="4">
        <f t="shared" si="4"/>
        <v>1</v>
      </c>
      <c r="I21" s="4">
        <f t="shared" si="5"/>
        <v>1</v>
      </c>
      <c r="J21" s="4">
        <f t="shared" si="6"/>
        <v>1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Administrative Staff</v>
      </c>
      <c r="H22" s="4">
        <f t="shared" si="4"/>
        <v>1</v>
      </c>
      <c r="I22" s="4">
        <f t="shared" si="5"/>
        <v>1</v>
      </c>
      <c r="J22" s="4">
        <f t="shared" si="6"/>
        <v>1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>B5</f>
        <v>Senior Management</v>
      </c>
      <c r="C24" s="5">
        <v>1</v>
      </c>
      <c r="D24" s="5">
        <v>1</v>
      </c>
      <c r="E24" s="5">
        <v>1</v>
      </c>
      <c r="F24" s="141"/>
      <c r="G24" s="4" t="str">
        <f t="shared" si="7"/>
        <v>Postion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 t="shared" ref="B25:B33" si="8">B6</f>
        <v>Operational Managers</v>
      </c>
      <c r="C25" s="5">
        <v>1</v>
      </c>
      <c r="D25" s="5">
        <v>1</v>
      </c>
      <c r="E25" s="5">
        <v>1</v>
      </c>
      <c r="G25" s="4" t="str">
        <f t="shared" si="7"/>
        <v>Postion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 t="shared" si="8"/>
        <v>Staff Instructors</v>
      </c>
      <c r="C26" s="5">
        <v>1</v>
      </c>
      <c r="D26" s="5">
        <v>1</v>
      </c>
      <c r="E26" s="5">
        <v>1</v>
      </c>
      <c r="F26" s="141"/>
      <c r="G26" s="4" t="str">
        <f t="shared" si="7"/>
        <v>Postion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 t="shared" si="8"/>
        <v>Support Staff</v>
      </c>
      <c r="C27" s="5">
        <v>1</v>
      </c>
      <c r="D27" s="5">
        <v>1</v>
      </c>
      <c r="E27" s="5">
        <v>1</v>
      </c>
      <c r="F27" s="141"/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 t="shared" si="8"/>
        <v>Administrative Staff</v>
      </c>
      <c r="C28" s="5">
        <v>1</v>
      </c>
      <c r="D28" s="5">
        <v>1</v>
      </c>
      <c r="E28" s="5">
        <v>1</v>
      </c>
      <c r="F28" s="141"/>
      <c r="G28" s="10" t="s">
        <v>8</v>
      </c>
      <c r="H28" s="10">
        <f>SUM(H18:H27)</f>
        <v>5</v>
      </c>
      <c r="I28" s="10">
        <f t="shared" ref="I28:J28" si="9">SUM(I18:I27)</f>
        <v>5</v>
      </c>
      <c r="J28" s="10">
        <f t="shared" si="9"/>
        <v>5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tr">
        <f t="shared" si="8"/>
        <v>Position 6</v>
      </c>
      <c r="C29" s="5"/>
      <c r="D29" s="5"/>
      <c r="E29" s="5"/>
      <c r="O29" s="115"/>
      <c r="P29" s="115"/>
      <c r="Q29" s="115"/>
      <c r="R29" s="115"/>
      <c r="S29" s="115"/>
      <c r="T29" s="115"/>
    </row>
    <row r="30" spans="2:20">
      <c r="B30" s="15" t="str">
        <f t="shared" si="8"/>
        <v>Postion 7</v>
      </c>
      <c r="C30" s="5"/>
      <c r="D30" s="5"/>
      <c r="E30" s="5"/>
      <c r="O30" s="115"/>
      <c r="P30" s="115"/>
      <c r="Q30" s="115"/>
      <c r="R30" s="115"/>
      <c r="S30" s="115"/>
      <c r="T30" s="115"/>
    </row>
    <row r="31" spans="2:20">
      <c r="B31" s="15" t="str">
        <f t="shared" si="8"/>
        <v>Postion 8</v>
      </c>
      <c r="C31" s="5"/>
      <c r="D31" s="5"/>
      <c r="E31" s="5"/>
      <c r="L31" s="112" t="str">
        <f>G6</f>
        <v>Senior Management</v>
      </c>
      <c r="M31" s="113">
        <f>J6/$J$16</f>
        <v>0.25316455696202533</v>
      </c>
      <c r="N31" s="112"/>
      <c r="O31" s="115"/>
      <c r="P31" s="115"/>
      <c r="Q31" s="115"/>
      <c r="R31" s="115"/>
      <c r="S31" s="115"/>
      <c r="T31" s="115"/>
    </row>
    <row r="32" spans="2:20">
      <c r="B32" s="15" t="str">
        <f t="shared" si="8"/>
        <v>Postion 9</v>
      </c>
      <c r="C32" s="5"/>
      <c r="D32" s="5"/>
      <c r="E32" s="5"/>
      <c r="F32" s="30"/>
      <c r="G32" s="30"/>
      <c r="L32" s="112" t="str">
        <f>G7</f>
        <v>Operational Managers</v>
      </c>
      <c r="M32" s="113">
        <f>J7/$J$16</f>
        <v>0.22784810126582278</v>
      </c>
      <c r="N32" s="112"/>
      <c r="O32" s="115"/>
      <c r="P32" s="115"/>
      <c r="Q32" s="115"/>
      <c r="T32" s="115"/>
    </row>
    <row r="33" spans="2:20">
      <c r="B33" s="15" t="str">
        <f t="shared" si="8"/>
        <v>Position 10</v>
      </c>
      <c r="C33" s="5"/>
      <c r="D33" s="5"/>
      <c r="E33" s="5"/>
      <c r="F33" s="30"/>
      <c r="G33" s="30"/>
      <c r="L33" s="112" t="str">
        <f>G8</f>
        <v>Staff Instructors</v>
      </c>
      <c r="M33" s="113">
        <f>J8/$J$16</f>
        <v>0.17721518987341772</v>
      </c>
      <c r="N33" s="112"/>
      <c r="O33" s="115"/>
      <c r="P33" s="115"/>
      <c r="Q33" s="115"/>
      <c r="T33" s="115"/>
    </row>
    <row r="34" spans="2:20">
      <c r="F34" s="43"/>
      <c r="G34" s="43"/>
      <c r="L34" s="112" t="str">
        <f>G9</f>
        <v>Support Staff</v>
      </c>
      <c r="M34" s="113">
        <f>J9/$J$16</f>
        <v>0.15189873417721519</v>
      </c>
      <c r="N34" s="112"/>
      <c r="O34" s="115"/>
      <c r="P34" s="115"/>
      <c r="Q34" s="115"/>
      <c r="T34" s="115"/>
    </row>
    <row r="35" spans="2:20">
      <c r="F35" s="43"/>
      <c r="G35" s="43"/>
      <c r="L35" s="112" t="str">
        <f>G10</f>
        <v>Administrative Staff</v>
      </c>
      <c r="M35" s="113">
        <f>J10/$J$16</f>
        <v>0.189873417721519</v>
      </c>
      <c r="N35" s="112"/>
      <c r="O35" s="115"/>
      <c r="P35" s="115"/>
      <c r="Q35" s="115"/>
      <c r="T35" s="115"/>
    </row>
    <row r="36" spans="2:20">
      <c r="F36" s="43"/>
      <c r="G36" s="43"/>
      <c r="L36" s="112" t="str">
        <f t="shared" ref="L36:L39" si="10">G11</f>
        <v>Position 6</v>
      </c>
      <c r="M36" s="113">
        <f t="shared" ref="M36:M39" si="11">J11/$J$16</f>
        <v>0</v>
      </c>
      <c r="N36" s="112"/>
      <c r="O36" s="115"/>
      <c r="P36" s="115"/>
      <c r="Q36" s="115"/>
      <c r="T36" s="115"/>
    </row>
    <row r="37" spans="2:20">
      <c r="F37" s="43"/>
      <c r="G37" s="43"/>
      <c r="L37" s="112" t="str">
        <f t="shared" si="10"/>
        <v>Postion 7</v>
      </c>
      <c r="M37" s="113">
        <f t="shared" si="11"/>
        <v>0</v>
      </c>
      <c r="N37" s="112"/>
      <c r="O37" s="115"/>
      <c r="P37" s="115"/>
      <c r="Q37" s="115"/>
      <c r="R37" s="115"/>
      <c r="S37" s="116"/>
      <c r="T37" s="115"/>
    </row>
    <row r="38" spans="2:20">
      <c r="F38" s="43"/>
      <c r="G38" s="43"/>
      <c r="L38" s="112" t="str">
        <f t="shared" si="10"/>
        <v>Postion 8</v>
      </c>
      <c r="M38" s="113">
        <f t="shared" si="11"/>
        <v>0</v>
      </c>
      <c r="N38" s="112"/>
      <c r="Q38" s="112"/>
      <c r="R38" s="112"/>
      <c r="S38" s="113"/>
    </row>
    <row r="39" spans="2:20">
      <c r="F39" s="43"/>
      <c r="G39" s="43"/>
      <c r="L39" s="112" t="str">
        <f t="shared" si="10"/>
        <v>Postion 9</v>
      </c>
      <c r="M39" s="113">
        <f t="shared" si="11"/>
        <v>0</v>
      </c>
      <c r="N39" s="112"/>
      <c r="S39" s="111"/>
    </row>
    <row r="40" spans="2:20">
      <c r="F40" s="43"/>
      <c r="G40" s="43"/>
      <c r="L40" s="112" t="str">
        <f t="shared" ref="L40" si="12">G15</f>
        <v>Position 10</v>
      </c>
      <c r="M40" s="113">
        <f t="shared" ref="M40" si="13">J15/$J$16</f>
        <v>0</v>
      </c>
      <c r="N40" s="112"/>
    </row>
    <row r="41" spans="2:20">
      <c r="F41" s="43"/>
      <c r="G41" s="43"/>
      <c r="L41" s="112"/>
      <c r="M41" s="112"/>
      <c r="N41" s="112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Senior Management</v>
      </c>
      <c r="C58" s="14">
        <f>C5</f>
        <v>50000</v>
      </c>
      <c r="D58" s="14">
        <f>C58*(1+$C$53)</f>
        <v>51500</v>
      </c>
      <c r="E58" s="14">
        <f>D58*(1+$C$53)</f>
        <v>53045</v>
      </c>
      <c r="F58" s="14">
        <f>E58*(1+$C$53)</f>
        <v>54636.35</v>
      </c>
      <c r="G58" s="14">
        <f>F58*(1+$C$53)</f>
        <v>56275.440499999997</v>
      </c>
    </row>
    <row r="59" spans="2:7">
      <c r="B59" s="4" t="str">
        <f t="shared" ref="B59:C67" si="14">B6</f>
        <v>Operational Managers</v>
      </c>
      <c r="C59" s="14">
        <f t="shared" si="14"/>
        <v>45000</v>
      </c>
      <c r="D59" s="14">
        <f t="shared" ref="D59:G59" si="15">C59*(1+$C$53)</f>
        <v>46350</v>
      </c>
      <c r="E59" s="14">
        <f t="shared" si="15"/>
        <v>47740.5</v>
      </c>
      <c r="F59" s="14">
        <f t="shared" si="15"/>
        <v>49172.715000000004</v>
      </c>
      <c r="G59" s="14">
        <f t="shared" si="15"/>
        <v>50647.896450000007</v>
      </c>
    </row>
    <row r="60" spans="2:7">
      <c r="B60" s="4" t="str">
        <f t="shared" si="14"/>
        <v>Staff Instructors</v>
      </c>
      <c r="C60" s="14">
        <f t="shared" si="14"/>
        <v>35000</v>
      </c>
      <c r="D60" s="14">
        <f t="shared" ref="D60:G60" si="16">C60*(1+$C$53)</f>
        <v>36050</v>
      </c>
      <c r="E60" s="14">
        <f t="shared" si="16"/>
        <v>37131.5</v>
      </c>
      <c r="F60" s="14">
        <f t="shared" si="16"/>
        <v>38245.445</v>
      </c>
      <c r="G60" s="14">
        <f t="shared" si="16"/>
        <v>39392.808349999999</v>
      </c>
    </row>
    <row r="61" spans="2:7">
      <c r="B61" s="4" t="str">
        <f t="shared" si="14"/>
        <v>Support Staff</v>
      </c>
      <c r="C61" s="14">
        <f t="shared" si="14"/>
        <v>30000</v>
      </c>
      <c r="D61" s="14">
        <f t="shared" ref="D61:G61" si="17">C61*(1+$C$53)</f>
        <v>30900</v>
      </c>
      <c r="E61" s="14">
        <f t="shared" si="17"/>
        <v>31827</v>
      </c>
      <c r="F61" s="14">
        <f t="shared" si="17"/>
        <v>32781.81</v>
      </c>
      <c r="G61" s="14">
        <f t="shared" si="17"/>
        <v>33765.264299999995</v>
      </c>
    </row>
    <row r="62" spans="2:7">
      <c r="B62" s="4" t="str">
        <f t="shared" si="14"/>
        <v>Administrative Staff</v>
      </c>
      <c r="C62" s="14">
        <f t="shared" si="14"/>
        <v>37500</v>
      </c>
      <c r="D62" s="14">
        <f t="shared" ref="D62:G62" si="18">C62*(1+$C$53)</f>
        <v>38625</v>
      </c>
      <c r="E62" s="14">
        <f t="shared" si="18"/>
        <v>39783.75</v>
      </c>
      <c r="F62" s="14">
        <f t="shared" si="18"/>
        <v>40977.262500000004</v>
      </c>
      <c r="G62" s="14">
        <f t="shared" si="18"/>
        <v>42206.580375000005</v>
      </c>
    </row>
    <row r="63" spans="2:7">
      <c r="B63" s="4" t="str">
        <f t="shared" si="14"/>
        <v>Position 6</v>
      </c>
      <c r="C63" s="14">
        <f t="shared" si="14"/>
        <v>0</v>
      </c>
      <c r="D63" s="14">
        <f t="shared" ref="D63:G63" si="19">C63*(1+$C$53)</f>
        <v>0</v>
      </c>
      <c r="E63" s="14">
        <f t="shared" si="19"/>
        <v>0</v>
      </c>
      <c r="F63" s="14">
        <f t="shared" si="19"/>
        <v>0</v>
      </c>
      <c r="G63" s="14">
        <f t="shared" si="19"/>
        <v>0</v>
      </c>
    </row>
    <row r="64" spans="2:7">
      <c r="B64" s="4" t="str">
        <f t="shared" si="14"/>
        <v>Postion 7</v>
      </c>
      <c r="C64" s="14">
        <f t="shared" si="14"/>
        <v>0</v>
      </c>
      <c r="D64" s="14">
        <f t="shared" ref="D64:G64" si="20">C64*(1+$C$53)</f>
        <v>0</v>
      </c>
      <c r="E64" s="14">
        <f t="shared" si="20"/>
        <v>0</v>
      </c>
      <c r="F64" s="14">
        <f t="shared" si="20"/>
        <v>0</v>
      </c>
      <c r="G64" s="14">
        <f t="shared" si="20"/>
        <v>0</v>
      </c>
    </row>
    <row r="65" spans="2:7">
      <c r="B65" s="4" t="str">
        <f t="shared" si="14"/>
        <v>Postion 8</v>
      </c>
      <c r="C65" s="14">
        <f t="shared" si="14"/>
        <v>0</v>
      </c>
      <c r="D65" s="14">
        <f t="shared" ref="D65:G65" si="21">C65*(1+$C$53)</f>
        <v>0</v>
      </c>
      <c r="E65" s="14">
        <f t="shared" si="21"/>
        <v>0</v>
      </c>
      <c r="F65" s="14">
        <f t="shared" si="21"/>
        <v>0</v>
      </c>
      <c r="G65" s="14">
        <f t="shared" si="21"/>
        <v>0</v>
      </c>
    </row>
    <row r="66" spans="2:7">
      <c r="B66" s="4" t="str">
        <f t="shared" si="14"/>
        <v>Postion 9</v>
      </c>
      <c r="C66" s="14">
        <f t="shared" si="14"/>
        <v>0</v>
      </c>
      <c r="D66" s="14">
        <f t="shared" ref="D66:G66" si="22">C66*(1+$C$53)</f>
        <v>0</v>
      </c>
      <c r="E66" s="14">
        <f t="shared" si="22"/>
        <v>0</v>
      </c>
      <c r="F66" s="14">
        <f t="shared" si="22"/>
        <v>0</v>
      </c>
      <c r="G66" s="14">
        <f t="shared" si="22"/>
        <v>0</v>
      </c>
    </row>
    <row r="67" spans="2:7">
      <c r="B67" s="4" t="str">
        <f t="shared" si="14"/>
        <v>Position 10</v>
      </c>
      <c r="C67" s="14">
        <f t="shared" si="14"/>
        <v>0</v>
      </c>
      <c r="D67" s="14">
        <f t="shared" ref="D67:G67" si="23">C67*(1+$C$53)</f>
        <v>0</v>
      </c>
      <c r="E67" s="14">
        <f t="shared" si="23"/>
        <v>0</v>
      </c>
      <c r="F67" s="14">
        <f t="shared" si="23"/>
        <v>0</v>
      </c>
      <c r="G67" s="14">
        <f t="shared" si="23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H36" sqref="H36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126</v>
      </c>
      <c r="E6" s="6">
        <v>20000</v>
      </c>
    </row>
    <row r="7" spans="4:5">
      <c r="D7" s="21" t="s">
        <v>127</v>
      </c>
      <c r="E7" s="6">
        <v>20000</v>
      </c>
    </row>
    <row r="8" spans="4:5">
      <c r="D8" s="21" t="s">
        <v>116</v>
      </c>
      <c r="E8" s="6">
        <v>5000</v>
      </c>
    </row>
    <row r="9" spans="4:5">
      <c r="D9" s="21" t="s">
        <v>0</v>
      </c>
      <c r="E9" s="6">
        <v>25000</v>
      </c>
    </row>
    <row r="10" spans="4:5">
      <c r="D10" s="21"/>
      <c r="E10" s="6"/>
    </row>
    <row r="11" spans="4:5">
      <c r="D11" s="21"/>
      <c r="E11" s="6"/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70000</v>
      </c>
    </row>
    <row r="20" spans="4:5">
      <c r="D20" s="7" t="s">
        <v>97</v>
      </c>
      <c r="E20" s="3"/>
    </row>
    <row r="21" spans="4:5">
      <c r="D21" s="4" t="s">
        <v>98</v>
      </c>
      <c r="E21" s="14">
        <v>10000</v>
      </c>
    </row>
    <row r="22" spans="4:5">
      <c r="D22" s="4" t="s">
        <v>99</v>
      </c>
      <c r="E22" s="14">
        <v>60000</v>
      </c>
    </row>
    <row r="23" spans="4:5">
      <c r="D23" s="4" t="s">
        <v>100</v>
      </c>
      <c r="E23" s="14">
        <f>SUM(E21:E22)</f>
        <v>70000</v>
      </c>
    </row>
    <row r="27" spans="4:5">
      <c r="D27" s="112"/>
    </row>
    <row r="28" spans="4:5">
      <c r="D28" s="121"/>
      <c r="E28" s="1"/>
    </row>
    <row r="29" spans="4:5">
      <c r="D29" s="121"/>
      <c r="E29" s="1"/>
    </row>
    <row r="30" spans="4:5">
      <c r="D30" s="121"/>
      <c r="E30" s="1"/>
    </row>
    <row r="31" spans="4:5">
      <c r="D31" s="121"/>
      <c r="E31" s="1"/>
    </row>
    <row r="32" spans="4:5">
      <c r="D32" s="121"/>
      <c r="E32" s="1"/>
    </row>
    <row r="33" spans="4:5">
      <c r="D33" s="121"/>
      <c r="E33" s="1"/>
    </row>
    <row r="34" spans="4:5">
      <c r="D34" s="121"/>
      <c r="E34" s="1"/>
    </row>
    <row r="35" spans="4:5">
      <c r="D35" s="121"/>
      <c r="E35" s="1"/>
    </row>
    <row r="36" spans="4:5">
      <c r="D36" s="121"/>
      <c r="E36" s="1"/>
    </row>
    <row r="37" spans="4:5">
      <c r="D37" s="121"/>
      <c r="E37" s="1"/>
    </row>
    <row r="38" spans="4:5">
      <c r="D38" s="122"/>
      <c r="E38" s="123"/>
    </row>
    <row r="40" spans="4:5">
      <c r="D40" s="112"/>
    </row>
    <row r="41" spans="4:5">
      <c r="D41" s="121"/>
      <c r="E41" s="1"/>
    </row>
    <row r="42" spans="4:5">
      <c r="D42" s="121"/>
      <c r="E42" s="1"/>
    </row>
    <row r="43" spans="4:5">
      <c r="D43" s="121"/>
      <c r="E43" s="1"/>
    </row>
    <row r="44" spans="4:5">
      <c r="D44" s="121"/>
      <c r="E44" s="1"/>
    </row>
    <row r="45" spans="4:5">
      <c r="D45" s="121"/>
      <c r="E45" s="1"/>
    </row>
    <row r="46" spans="4:5">
      <c r="D46" s="121"/>
      <c r="E46" s="1"/>
    </row>
    <row r="47" spans="4:5">
      <c r="D47" s="121"/>
      <c r="E47" s="1"/>
    </row>
    <row r="48" spans="4:5">
      <c r="D48" s="121"/>
      <c r="E48" s="1"/>
    </row>
    <row r="49" spans="4:5">
      <c r="D49" s="121"/>
      <c r="E49" s="1"/>
    </row>
    <row r="50" spans="4:5">
      <c r="D50" s="121"/>
      <c r="E50" s="1"/>
    </row>
    <row r="51" spans="4:5">
      <c r="D51" s="122"/>
      <c r="E51" s="12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topLeftCell="A2" workbookViewId="0">
      <selection activeCell="I35" sqref="I35"/>
    </sheetView>
  </sheetViews>
  <sheetFormatPr defaultRowHeight="15"/>
  <cols>
    <col min="4" max="4" width="30.855468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5"/>
      <c r="I5" s="13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443118</v>
      </c>
      <c r="F6" s="69">
        <f>'Revenue Overview'!G16</f>
        <v>487429.80000000005</v>
      </c>
      <c r="G6" s="81">
        <f>'Revenue Overview'!H16</f>
        <v>536172.78000000014</v>
      </c>
      <c r="H6" s="136"/>
      <c r="I6" s="136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36605.4</v>
      </c>
      <c r="F7" s="71">
        <f>'Revenue Overview'!G31</f>
        <v>40265.94</v>
      </c>
      <c r="G7" s="80">
        <f>'Revenue Overview'!H31</f>
        <v>44292.534000000014</v>
      </c>
      <c r="H7" s="137"/>
      <c r="I7" s="137"/>
      <c r="J7" s="115"/>
      <c r="K7" s="112" t="s">
        <v>51</v>
      </c>
      <c r="L7" s="114">
        <f>E6</f>
        <v>443118</v>
      </c>
      <c r="M7" s="114">
        <f>F6</f>
        <v>487429.80000000005</v>
      </c>
      <c r="N7" s="114">
        <f>G6</f>
        <v>536172.78000000014</v>
      </c>
      <c r="O7" s="114"/>
      <c r="P7" s="138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0.91739130434782612</v>
      </c>
      <c r="F8" s="73">
        <f t="shared" ref="F8:G8" si="0">1-(F7/F6)</f>
        <v>0.91739130434782612</v>
      </c>
      <c r="G8" s="134">
        <f t="shared" si="0"/>
        <v>0.91739130434782612</v>
      </c>
      <c r="H8" s="139"/>
      <c r="I8" s="139"/>
      <c r="J8" s="115"/>
      <c r="K8" s="112" t="s">
        <v>76</v>
      </c>
      <c r="L8" s="114">
        <f>E6</f>
        <v>443118</v>
      </c>
      <c r="M8" s="114">
        <f>F6</f>
        <v>487429.80000000005</v>
      </c>
      <c r="N8" s="114">
        <f>G6</f>
        <v>536172.78000000014</v>
      </c>
      <c r="O8" s="114"/>
      <c r="P8" s="138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40"/>
      <c r="I9" s="140"/>
      <c r="J9" s="115"/>
      <c r="K9" s="112"/>
      <c r="L9" s="114"/>
      <c r="M9" s="114"/>
      <c r="N9" s="114"/>
      <c r="O9" s="114"/>
      <c r="P9" s="138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406512.6</v>
      </c>
      <c r="F10" s="76">
        <f t="shared" ref="F10:G10" si="1">F6-F7</f>
        <v>447163.86000000004</v>
      </c>
      <c r="G10" s="84">
        <f t="shared" si="1"/>
        <v>491880.24600000016</v>
      </c>
      <c r="H10" s="136"/>
      <c r="I10" s="136"/>
      <c r="J10" s="115"/>
      <c r="K10" s="112" t="s">
        <v>47</v>
      </c>
      <c r="L10" s="114">
        <f>E23</f>
        <v>138969.08779999998</v>
      </c>
      <c r="M10" s="114">
        <f>F23</f>
        <v>168663.35908000002</v>
      </c>
      <c r="N10" s="114">
        <f>G23</f>
        <v>201400.97836300015</v>
      </c>
      <c r="O10" s="114"/>
      <c r="P10" s="138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40"/>
      <c r="I11" s="140"/>
      <c r="J11" s="115"/>
      <c r="K11" s="112" t="s">
        <v>77</v>
      </c>
      <c r="L11" s="114">
        <f>L10</f>
        <v>138969.08779999998</v>
      </c>
      <c r="M11" s="114">
        <f t="shared" ref="M11:N11" si="2">M10</f>
        <v>168663.35908000002</v>
      </c>
      <c r="N11" s="114">
        <f t="shared" si="2"/>
        <v>201400.97836300015</v>
      </c>
      <c r="O11" s="114"/>
      <c r="P11" s="138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40"/>
      <c r="I12" s="140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197500</v>
      </c>
      <c r="F13" s="78">
        <f>'Personnel - Editable'!I16</f>
        <v>203425</v>
      </c>
      <c r="G13" s="78">
        <f>'Personnel - Editable'!J16</f>
        <v>209527.75</v>
      </c>
      <c r="H13" s="137"/>
      <c r="I13" s="137"/>
      <c r="J13" s="115"/>
      <c r="K13" s="112" t="s">
        <v>75</v>
      </c>
      <c r="L13" s="114">
        <f>E21</f>
        <v>267543.5122</v>
      </c>
      <c r="M13" s="114">
        <f>F21</f>
        <v>278500.50092000002</v>
      </c>
      <c r="N13" s="114">
        <f>G21</f>
        <v>290479.26763700001</v>
      </c>
      <c r="O13" s="114"/>
      <c r="P13" s="138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25000</v>
      </c>
      <c r="F14" s="80">
        <f>Inputs!D18</f>
        <v>25750</v>
      </c>
      <c r="G14" s="80">
        <f>Inputs!E18</f>
        <v>26522.5</v>
      </c>
      <c r="H14" s="137"/>
      <c r="I14" s="137"/>
      <c r="J14" s="115"/>
      <c r="K14" s="112" t="s">
        <v>78</v>
      </c>
      <c r="L14" s="114">
        <f>E21</f>
        <v>267543.5122</v>
      </c>
      <c r="M14" s="114">
        <f>F21</f>
        <v>278500.50092000002</v>
      </c>
      <c r="N14" s="114">
        <f>G21</f>
        <v>290479.26763700001</v>
      </c>
      <c r="O14" s="114"/>
      <c r="P14" s="138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6956.9525999999996</v>
      </c>
      <c r="F15" s="78">
        <f>Inputs!D19</f>
        <v>7652.64786</v>
      </c>
      <c r="G15" s="78">
        <f>Inputs!E19</f>
        <v>8417.9126460000007</v>
      </c>
      <c r="H15" s="137"/>
      <c r="I15" s="137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Equipment Costs</v>
      </c>
      <c r="E16" s="80">
        <f>Inputs!C20</f>
        <v>6735.3936000000003</v>
      </c>
      <c r="F16" s="80">
        <f>Inputs!D20</f>
        <v>7408.932960000001</v>
      </c>
      <c r="G16" s="80">
        <f>Inputs!E20</f>
        <v>8149.8262560000021</v>
      </c>
      <c r="H16" s="137"/>
      <c r="I16" s="137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5925</v>
      </c>
      <c r="F17" s="78">
        <f>Inputs!D21</f>
        <v>6102.75</v>
      </c>
      <c r="G17" s="78">
        <f>Inputs!E21</f>
        <v>6285.8324999999995</v>
      </c>
      <c r="H17" s="137"/>
      <c r="I17" s="137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Marketing</v>
      </c>
      <c r="E18" s="80">
        <f>Inputs!C22</f>
        <v>5317.4160000000002</v>
      </c>
      <c r="F18" s="80">
        <f>Inputs!D22</f>
        <v>5849.1576000000005</v>
      </c>
      <c r="G18" s="80">
        <f>Inputs!E22</f>
        <v>6434.0733600000021</v>
      </c>
      <c r="H18" s="137"/>
      <c r="I18" s="137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5000</v>
      </c>
      <c r="F19" s="78">
        <f>Inputs!D23</f>
        <v>6750</v>
      </c>
      <c r="G19" s="78">
        <f>Inputs!E23</f>
        <v>9112.5</v>
      </c>
      <c r="H19" s="137"/>
      <c r="I19" s="137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15108.75</v>
      </c>
      <c r="F20" s="80">
        <f>F13*'Tax Assumptions '!G9</f>
        <v>15562.012499999999</v>
      </c>
      <c r="G20" s="80">
        <f>G13*'Tax Assumptions '!H9</f>
        <v>16028.872874999999</v>
      </c>
      <c r="H20" s="137"/>
      <c r="I20" s="137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267543.5122</v>
      </c>
      <c r="F21" s="81">
        <f t="shared" ref="F21:G21" si="3">SUM(F13:F20)</f>
        <v>278500.50092000002</v>
      </c>
      <c r="G21" s="81">
        <f t="shared" si="3"/>
        <v>290479.26763700001</v>
      </c>
      <c r="H21" s="136"/>
      <c r="I21" s="136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40"/>
      <c r="I22" s="140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138969.08779999998</v>
      </c>
      <c r="F23" s="83">
        <f t="shared" ref="F23:G23" si="4">F10-F21</f>
        <v>168663.35908000002</v>
      </c>
      <c r="G23" s="83">
        <f t="shared" si="4"/>
        <v>201400.97836300015</v>
      </c>
      <c r="H23" s="136"/>
      <c r="I23" s="136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32630.366826547208</v>
      </c>
      <c r="F24" s="78">
        <f>(F23-F26-F27)*'Tax Assumptions '!G7</f>
        <v>40144.881259720016</v>
      </c>
      <c r="G24" s="78">
        <f>(G23-G26-G27)*'Tax Assumptions '!H7</f>
        <v>48428.764113278266</v>
      </c>
      <c r="H24" s="137"/>
      <c r="I24" s="137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102</v>
      </c>
      <c r="E25" s="80">
        <f>(E23-E26-E27)*'Tax Assumptions '!F8</f>
        <v>6526.0733653094421</v>
      </c>
      <c r="F25" s="80">
        <f>(F23-F26-F27)*'Tax Assumptions '!G8</f>
        <v>8028.9762519440037</v>
      </c>
      <c r="G25" s="80">
        <f>(G23-G26-G27)*'Tax Assumptions '!H8</f>
        <v>9685.7528226556533</v>
      </c>
      <c r="H25" s="137"/>
      <c r="I25" s="137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5242.6204938111405</v>
      </c>
      <c r="F26" s="78">
        <f>SUM('Loan Amortization Table'!D26:D37)</f>
        <v>4878.8340411199597</v>
      </c>
      <c r="G26" s="78">
        <f>SUM('Loan Amortization Table'!D38:D49)</f>
        <v>4480.9219098870853</v>
      </c>
      <c r="H26" s="128"/>
      <c r="I26" s="128"/>
    </row>
    <row r="27" spans="4:21">
      <c r="D27" s="70" t="s">
        <v>54</v>
      </c>
      <c r="E27" s="80">
        <v>3205</v>
      </c>
      <c r="F27" s="80">
        <v>3205</v>
      </c>
      <c r="G27" s="80">
        <v>3205</v>
      </c>
      <c r="H27" s="128"/>
      <c r="I27" s="128"/>
    </row>
    <row r="28" spans="4:21">
      <c r="D28" s="82" t="s">
        <v>17</v>
      </c>
      <c r="E28" s="83">
        <f>E23-SUM(E24:E27)</f>
        <v>91365.027114332188</v>
      </c>
      <c r="F28" s="83">
        <f t="shared" ref="F28:G28" si="5">F23-SUM(F24:F27)</f>
        <v>112405.66752721605</v>
      </c>
      <c r="G28" s="83">
        <f t="shared" si="5"/>
        <v>135600.53951717913</v>
      </c>
      <c r="H28" s="132"/>
      <c r="I28" s="132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7"/>
      <c r="I31" s="127"/>
      <c r="K31" s="1"/>
      <c r="L31" s="1"/>
      <c r="M31" s="1"/>
    </row>
    <row r="32" spans="4:21">
      <c r="D32" s="68" t="s">
        <v>51</v>
      </c>
      <c r="E32" s="69">
        <f>E6</f>
        <v>443118</v>
      </c>
      <c r="F32" s="69">
        <f t="shared" ref="F32:G32" si="6">F6</f>
        <v>487429.80000000005</v>
      </c>
      <c r="G32" s="81">
        <f t="shared" si="6"/>
        <v>536172.78000000014</v>
      </c>
      <c r="H32" s="132"/>
      <c r="I32" s="132"/>
    </row>
    <row r="33" spans="4:13">
      <c r="D33" s="70" t="s">
        <v>52</v>
      </c>
      <c r="E33" s="71">
        <f>E7</f>
        <v>36605.4</v>
      </c>
      <c r="F33" s="71">
        <f t="shared" ref="F33:G33" si="7">F7</f>
        <v>40265.94</v>
      </c>
      <c r="G33" s="80">
        <f t="shared" si="7"/>
        <v>44292.534000000014</v>
      </c>
      <c r="H33" s="128"/>
      <c r="I33" s="128"/>
    </row>
    <row r="34" spans="4:13">
      <c r="D34" s="68" t="s">
        <v>10</v>
      </c>
      <c r="E34" s="69">
        <f>E10</f>
        <v>406512.6</v>
      </c>
      <c r="F34" s="69">
        <f t="shared" ref="F34:G34" si="8">F10</f>
        <v>447163.86000000004</v>
      </c>
      <c r="G34" s="81">
        <f t="shared" si="8"/>
        <v>491880.24600000016</v>
      </c>
      <c r="H34" s="132"/>
      <c r="I34" s="132"/>
      <c r="K34" s="1"/>
      <c r="L34" s="1"/>
      <c r="M34" s="1"/>
    </row>
    <row r="35" spans="4:13">
      <c r="D35" s="75" t="s">
        <v>13</v>
      </c>
      <c r="E35" s="84">
        <f>E21</f>
        <v>267543.5122</v>
      </c>
      <c r="F35" s="84">
        <f t="shared" ref="F35:G35" si="9">F21</f>
        <v>278500.50092000002</v>
      </c>
      <c r="G35" s="84">
        <f t="shared" si="9"/>
        <v>290479.26763700001</v>
      </c>
      <c r="H35" s="132"/>
      <c r="I35" s="132"/>
    </row>
    <row r="36" spans="4:13">
      <c r="D36" s="82" t="s">
        <v>47</v>
      </c>
      <c r="E36" s="83">
        <f>E23</f>
        <v>138969.08779999998</v>
      </c>
      <c r="F36" s="83">
        <f t="shared" ref="F36:G36" si="10">F23</f>
        <v>168663.35908000002</v>
      </c>
      <c r="G36" s="83">
        <f t="shared" si="10"/>
        <v>201400.97836300015</v>
      </c>
      <c r="H36" s="132"/>
      <c r="I36" s="132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H36" sqref="H36"/>
    </sheetView>
  </sheetViews>
  <sheetFormatPr defaultRowHeight="15"/>
  <cols>
    <col min="4" max="4" width="23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7"/>
      <c r="I5" s="127"/>
    </row>
    <row r="6" spans="4:9">
      <c r="D6" s="68" t="s">
        <v>67</v>
      </c>
      <c r="E6" s="81">
        <f>'Profit and Loss Statement'!E28+'Profit and Loss Statement'!E27</f>
        <v>94570.027114332188</v>
      </c>
      <c r="F6" s="81">
        <f>'Profit and Loss Statement'!F28+'Profit and Loss Statement'!F27</f>
        <v>115610.66752721605</v>
      </c>
      <c r="G6" s="81">
        <f>'Profit and Loss Statement'!G28+'Profit and Loss Statement'!G27</f>
        <v>138805.53951717913</v>
      </c>
      <c r="H6" s="132"/>
      <c r="I6" s="132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10000</v>
      </c>
      <c r="F9" s="87">
        <v>0</v>
      </c>
      <c r="G9" s="87">
        <v>0</v>
      </c>
      <c r="H9" s="131"/>
      <c r="I9" s="131"/>
    </row>
    <row r="10" spans="4:9">
      <c r="D10" s="70" t="s">
        <v>21</v>
      </c>
      <c r="E10" s="88">
        <f>'Use of Funds'!E22</f>
        <v>60000</v>
      </c>
      <c r="F10" s="88">
        <v>0</v>
      </c>
      <c r="G10" s="88">
        <v>0</v>
      </c>
      <c r="H10" s="131"/>
      <c r="I10" s="131"/>
    </row>
    <row r="11" spans="4:9">
      <c r="D11" s="72" t="s">
        <v>22</v>
      </c>
      <c r="E11" s="78">
        <v>10000</v>
      </c>
      <c r="F11" s="78">
        <f>E11*1.02</f>
        <v>10200</v>
      </c>
      <c r="G11" s="78">
        <f>F11*1.02</f>
        <v>10404</v>
      </c>
      <c r="H11" s="128"/>
      <c r="I11" s="128"/>
    </row>
    <row r="12" spans="4:9">
      <c r="D12" s="75" t="s">
        <v>23</v>
      </c>
      <c r="E12" s="89">
        <f>SUM(E9:E11)</f>
        <v>80000</v>
      </c>
      <c r="F12" s="89">
        <f t="shared" ref="F12:G12" si="0">SUM(F9:F11)</f>
        <v>10200</v>
      </c>
      <c r="G12" s="89">
        <f t="shared" si="0"/>
        <v>10404</v>
      </c>
      <c r="H12" s="133"/>
      <c r="I12" s="133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174570.02711433219</v>
      </c>
      <c r="F15" s="90">
        <f t="shared" ref="F15:G15" si="1">F12+F6</f>
        <v>125810.66752721605</v>
      </c>
      <c r="G15" s="90">
        <f t="shared" si="1"/>
        <v>149209.53951717913</v>
      </c>
      <c r="H15" s="133"/>
      <c r="I15" s="133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3878.0352162068211</v>
      </c>
      <c r="F18" s="80">
        <f>SUM('Loan Amortization Table'!C26:C37)</f>
        <v>4241.8216688980037</v>
      </c>
      <c r="G18" s="80">
        <f>SUM('Loan Amortization Table'!C38:C49)</f>
        <v>4639.7338001308781</v>
      </c>
      <c r="H18" s="128"/>
      <c r="I18" s="128"/>
    </row>
    <row r="19" spans="4:9">
      <c r="D19" s="72" t="s">
        <v>25</v>
      </c>
      <c r="E19" s="78">
        <f>E11*0.7</f>
        <v>7000</v>
      </c>
      <c r="F19" s="78">
        <f t="shared" ref="F19:G19" si="2">F11*0.7</f>
        <v>7140</v>
      </c>
      <c r="G19" s="78">
        <f t="shared" si="2"/>
        <v>7282.7999999999993</v>
      </c>
      <c r="H19" s="128"/>
      <c r="I19" s="128"/>
    </row>
    <row r="20" spans="4:9">
      <c r="D20" s="70" t="s">
        <v>33</v>
      </c>
      <c r="E20" s="80">
        <f>'Use of Funds'!E6+'Use of Funds'!E7</f>
        <v>40000</v>
      </c>
      <c r="F20" s="80">
        <f>F6*0.05</f>
        <v>5780.5333763608032</v>
      </c>
      <c r="G20" s="80">
        <f>G6*0.05</f>
        <v>6940.2769758589566</v>
      </c>
      <c r="H20" s="128"/>
      <c r="I20" s="128"/>
    </row>
    <row r="21" spans="4:9">
      <c r="D21" s="72" t="s">
        <v>32</v>
      </c>
      <c r="E21" s="78">
        <f>E6*0.7</f>
        <v>66199.018980032532</v>
      </c>
      <c r="F21" s="78">
        <f t="shared" ref="F21:G21" si="3">F6*0.7</f>
        <v>80927.467269051223</v>
      </c>
      <c r="G21" s="78">
        <f t="shared" si="3"/>
        <v>97163.877662025392</v>
      </c>
      <c r="H21" s="128"/>
      <c r="I21" s="128"/>
    </row>
    <row r="22" spans="4:9">
      <c r="D22" s="75" t="s">
        <v>26</v>
      </c>
      <c r="E22" s="84">
        <f>SUM(E18:E21)</f>
        <v>117077.05419623936</v>
      </c>
      <c r="F22" s="84">
        <f t="shared" ref="F22:G22" si="4">SUM(F18:F21)</f>
        <v>98089.822314310033</v>
      </c>
      <c r="G22" s="84">
        <f t="shared" si="4"/>
        <v>116026.68843801523</v>
      </c>
      <c r="H22" s="132"/>
      <c r="I22" s="132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57492.972918092826</v>
      </c>
      <c r="F24" s="91">
        <f t="shared" ref="F24:G24" si="5">F15-F22</f>
        <v>27720.845212906017</v>
      </c>
      <c r="G24" s="91">
        <f t="shared" si="5"/>
        <v>33182.851079163898</v>
      </c>
      <c r="H24" s="133"/>
      <c r="I24" s="133"/>
    </row>
    <row r="25" spans="4:9">
      <c r="D25" s="82" t="s">
        <v>6</v>
      </c>
      <c r="E25" s="91">
        <f>E24</f>
        <v>57492.972918092826</v>
      </c>
      <c r="F25" s="91">
        <f>E25+F24</f>
        <v>85213.818130998843</v>
      </c>
      <c r="G25" s="91">
        <f>F25+G24</f>
        <v>118396.66921016274</v>
      </c>
      <c r="H25" s="133"/>
      <c r="I25" s="133"/>
    </row>
    <row r="28" spans="4:9">
      <c r="D28" s="112" t="s">
        <v>79</v>
      </c>
      <c r="E28" s="114">
        <f>E6</f>
        <v>94570.027114332188</v>
      </c>
      <c r="F28" s="114">
        <f t="shared" ref="F28:G28" si="6">F6</f>
        <v>115610.66752721605</v>
      </c>
      <c r="G28" s="114">
        <f t="shared" si="6"/>
        <v>138805.53951717913</v>
      </c>
      <c r="H28" s="1"/>
      <c r="I28" s="1"/>
    </row>
    <row r="29" spans="4:9">
      <c r="D29" s="112" t="s">
        <v>80</v>
      </c>
      <c r="E29" s="114">
        <f>E18</f>
        <v>3878.0352162068211</v>
      </c>
      <c r="F29" s="114">
        <f t="shared" ref="F29:G29" si="7">F18</f>
        <v>4241.8216688980037</v>
      </c>
      <c r="G29" s="114">
        <f t="shared" si="7"/>
        <v>4639.7338001308781</v>
      </c>
      <c r="H29" s="1"/>
      <c r="I29" s="1"/>
    </row>
    <row r="30" spans="4:9">
      <c r="D30" s="112" t="s">
        <v>81</v>
      </c>
      <c r="E30" s="114">
        <f>E21</f>
        <v>66199.018980032532</v>
      </c>
      <c r="F30" s="114">
        <f t="shared" ref="F30:G30" si="8">F21</f>
        <v>80927.467269051223</v>
      </c>
      <c r="G30" s="114">
        <f t="shared" si="8"/>
        <v>97163.877662025392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J37" sqref="J37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7"/>
      <c r="I5" s="127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57492.972918092826</v>
      </c>
      <c r="F7" s="78">
        <f>'Cash Flow Analysis'!F25</f>
        <v>85213.818130998843</v>
      </c>
      <c r="G7" s="78">
        <f>'Cash Flow Analysis'!G25</f>
        <v>118396.66921016274</v>
      </c>
      <c r="H7" s="128"/>
      <c r="I7" s="128"/>
    </row>
    <row r="8" spans="4:9">
      <c r="D8" s="66" t="s">
        <v>123</v>
      </c>
      <c r="E8" s="94">
        <f>'Cash Flow Analysis'!E20</f>
        <v>40000</v>
      </c>
      <c r="F8" s="94">
        <f>E8+'Cash Flow Analysis'!F20</f>
        <v>45780.533376360807</v>
      </c>
      <c r="G8" s="94">
        <f>F8+'Cash Flow Analysis'!G20</f>
        <v>52720.810352219763</v>
      </c>
      <c r="H8" s="128"/>
      <c r="I8" s="128"/>
    </row>
    <row r="9" spans="4:9">
      <c r="D9" s="72" t="s">
        <v>48</v>
      </c>
      <c r="E9" s="87">
        <f>-'Profit and Loss Statement'!E27</f>
        <v>-3205</v>
      </c>
      <c r="F9" s="87">
        <f>E9-'Profit and Loss Statement'!F27</f>
        <v>-6410</v>
      </c>
      <c r="G9" s="87">
        <f>F9-'Profit and Loss Statement'!G27</f>
        <v>-9615</v>
      </c>
      <c r="H9" s="131"/>
      <c r="I9" s="131"/>
    </row>
    <row r="10" spans="4:9">
      <c r="D10" s="95" t="s">
        <v>7</v>
      </c>
      <c r="E10" s="96">
        <f>SUM(E7:E9)</f>
        <v>94287.972918092826</v>
      </c>
      <c r="F10" s="96">
        <f t="shared" ref="F10:G10" si="0">SUM(F7:F9)</f>
        <v>124584.35150735965</v>
      </c>
      <c r="G10" s="96">
        <f t="shared" si="0"/>
        <v>161502.4795623825</v>
      </c>
      <c r="H10" s="132"/>
      <c r="I10" s="132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3000</v>
      </c>
      <c r="F13" s="78">
        <f>E13+('Cash Flow Analysis'!F11-'Cash Flow Analysis'!F19)</f>
        <v>6060</v>
      </c>
      <c r="G13" s="78">
        <f>F13+('Cash Flow Analysis'!G11-'Cash Flow Analysis'!G19)</f>
        <v>9181.2000000000007</v>
      </c>
      <c r="H13" s="128"/>
      <c r="I13" s="128"/>
    </row>
    <row r="14" spans="4:9">
      <c r="D14" s="66" t="s">
        <v>73</v>
      </c>
      <c r="E14" s="94">
        <f>'Loan Amortization Table'!E25</f>
        <v>56121.964783793177</v>
      </c>
      <c r="F14" s="94">
        <f>'Loan Amortization Table'!E37</f>
        <v>51880.143114895167</v>
      </c>
      <c r="G14" s="94">
        <f>'Loan Amortization Table'!E49</f>
        <v>47240.409314764285</v>
      </c>
      <c r="H14" s="128"/>
      <c r="I14" s="128"/>
    </row>
    <row r="15" spans="4:9">
      <c r="D15" s="68" t="s">
        <v>30</v>
      </c>
      <c r="E15" s="81">
        <f>SUM(E13:E14)</f>
        <v>59121.964783793177</v>
      </c>
      <c r="F15" s="81">
        <f t="shared" ref="F15:G15" si="1">SUM(F13:F14)</f>
        <v>57940.143114895167</v>
      </c>
      <c r="G15" s="81">
        <f t="shared" si="1"/>
        <v>56421.609314764282</v>
      </c>
      <c r="H15" s="132"/>
      <c r="I15" s="132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35166.008134299649</v>
      </c>
      <c r="F17" s="83">
        <f t="shared" ref="F17:G17" si="2">F10-F15</f>
        <v>66644.208392464483</v>
      </c>
      <c r="G17" s="83">
        <f t="shared" si="2"/>
        <v>105080.87024761822</v>
      </c>
      <c r="H17" s="132"/>
      <c r="I17" s="132"/>
    </row>
    <row r="18" spans="4:9">
      <c r="D18" s="82" t="s">
        <v>31</v>
      </c>
      <c r="E18" s="83">
        <f>E15+E17</f>
        <v>94287.972918092826</v>
      </c>
      <c r="F18" s="83">
        <f t="shared" ref="F18:G18" si="3">F15+F17</f>
        <v>124584.35150735965</v>
      </c>
      <c r="G18" s="83">
        <f t="shared" si="3"/>
        <v>161502.4795623825</v>
      </c>
      <c r="H18" s="132"/>
      <c r="I18" s="132"/>
    </row>
    <row r="21" spans="4:9">
      <c r="D21" s="112" t="s">
        <v>82</v>
      </c>
      <c r="E21" s="114">
        <f>E10-1</f>
        <v>94286.972918092826</v>
      </c>
      <c r="F21" s="114">
        <f t="shared" ref="F21:G21" si="4">F10-1</f>
        <v>124583.35150735965</v>
      </c>
      <c r="G21" s="114">
        <f t="shared" si="4"/>
        <v>161501.4795623825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59121.964783793177</v>
      </c>
      <c r="F22" s="114">
        <f t="shared" ref="F22:G22" si="6">F15</f>
        <v>57940.143114895167</v>
      </c>
      <c r="G22" s="114">
        <f t="shared" si="6"/>
        <v>56421.609314764282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35166.008134299649</v>
      </c>
      <c r="F23" s="114">
        <f t="shared" ref="F23:G23" si="8">F17</f>
        <v>66644.208392464483</v>
      </c>
      <c r="G23" s="114">
        <f t="shared" si="8"/>
        <v>105080.87024761822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workbookViewId="0">
      <selection activeCell="K30" sqref="K30"/>
    </sheetView>
  </sheetViews>
  <sheetFormatPr defaultRowHeight="15"/>
  <cols>
    <col min="2" max="2" width="29.710937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36800</v>
      </c>
      <c r="D6" s="6">
        <f>Inputs!D42</f>
        <v>36823</v>
      </c>
      <c r="E6" s="6">
        <f>Inputs!E42</f>
        <v>36846</v>
      </c>
      <c r="F6" s="6">
        <f>Inputs!F42</f>
        <v>36869</v>
      </c>
      <c r="G6" s="6">
        <f>Inputs!G42</f>
        <v>36892</v>
      </c>
      <c r="H6" s="6">
        <f>Inputs!H42</f>
        <v>36915</v>
      </c>
      <c r="I6" s="6">
        <f>Inputs!I42</f>
        <v>36938</v>
      </c>
    </row>
    <row r="7" spans="2:9">
      <c r="B7" s="31" t="s">
        <v>52</v>
      </c>
      <c r="C7" s="6">
        <f>Inputs!C61</f>
        <v>3040</v>
      </c>
      <c r="D7" s="6">
        <f>Inputs!D61</f>
        <v>3041.8999999999996</v>
      </c>
      <c r="E7" s="6">
        <f>Inputs!E61</f>
        <v>3043.8</v>
      </c>
      <c r="F7" s="6">
        <f>Inputs!F61</f>
        <v>3045.7</v>
      </c>
      <c r="G7" s="6">
        <f>Inputs!G61</f>
        <v>3047.6</v>
      </c>
      <c r="H7" s="6">
        <f>Inputs!H61</f>
        <v>3049.5</v>
      </c>
      <c r="I7" s="6">
        <f>Inputs!I61</f>
        <v>3051.3999999999996</v>
      </c>
    </row>
    <row r="8" spans="2:9">
      <c r="B8" s="29" t="s">
        <v>12</v>
      </c>
      <c r="C8" s="17">
        <f>1-(C7/C6)</f>
        <v>0.91739130434782612</v>
      </c>
      <c r="D8" s="17">
        <f t="shared" ref="D8:I8" si="1">1-(D7/D6)</f>
        <v>0.91739130434782612</v>
      </c>
      <c r="E8" s="17">
        <f t="shared" si="1"/>
        <v>0.91739130434782612</v>
      </c>
      <c r="F8" s="17">
        <f t="shared" si="1"/>
        <v>0.91739130434782612</v>
      </c>
      <c r="G8" s="17">
        <f t="shared" si="1"/>
        <v>0.91739130434782612</v>
      </c>
      <c r="H8" s="17">
        <f t="shared" si="1"/>
        <v>0.91739130434782612</v>
      </c>
      <c r="I8" s="17">
        <f t="shared" si="1"/>
        <v>0.91739130434782612</v>
      </c>
    </row>
    <row r="9" spans="2:9">
      <c r="B9" s="30"/>
    </row>
    <row r="10" spans="2:9">
      <c r="B10" s="37" t="s">
        <v>10</v>
      </c>
      <c r="C10" s="6">
        <f>C6-C7</f>
        <v>33760</v>
      </c>
      <c r="D10" s="6">
        <f t="shared" ref="D10:I10" si="2">D6-D7</f>
        <v>33781.1</v>
      </c>
      <c r="E10" s="6">
        <f t="shared" si="2"/>
        <v>33802.199999999997</v>
      </c>
      <c r="F10" s="6">
        <f t="shared" si="2"/>
        <v>33823.300000000003</v>
      </c>
      <c r="G10" s="6">
        <f t="shared" si="2"/>
        <v>33844.400000000001</v>
      </c>
      <c r="H10" s="6">
        <f t="shared" si="2"/>
        <v>33865.5</v>
      </c>
      <c r="I10" s="6">
        <f t="shared" si="2"/>
        <v>33886.6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16458.333333333332</v>
      </c>
      <c r="D13" s="6">
        <f t="shared" ref="D13:I13" si="3">$H$41/12</f>
        <v>16458.333333333332</v>
      </c>
      <c r="E13" s="6">
        <f t="shared" si="3"/>
        <v>16458.333333333332</v>
      </c>
      <c r="F13" s="6">
        <f t="shared" si="3"/>
        <v>16458.333333333332</v>
      </c>
      <c r="G13" s="6">
        <f t="shared" si="3"/>
        <v>16458.333333333332</v>
      </c>
      <c r="H13" s="6">
        <f t="shared" si="3"/>
        <v>16458.333333333332</v>
      </c>
      <c r="I13" s="6">
        <f t="shared" si="3"/>
        <v>16458.333333333332</v>
      </c>
    </row>
    <row r="14" spans="2:9">
      <c r="B14" s="33" t="str">
        <f>'Profit and Loss Statement'!D14</f>
        <v>Facility Costs</v>
      </c>
      <c r="C14" s="6">
        <f>$H$42/12</f>
        <v>2083.3333333333335</v>
      </c>
      <c r="D14" s="6">
        <f t="shared" ref="D14:I14" si="4">$H$42/12</f>
        <v>2083.3333333333335</v>
      </c>
      <c r="E14" s="6">
        <f t="shared" si="4"/>
        <v>2083.3333333333335</v>
      </c>
      <c r="F14" s="6">
        <f t="shared" si="4"/>
        <v>2083.3333333333335</v>
      </c>
      <c r="G14" s="6">
        <f t="shared" si="4"/>
        <v>2083.3333333333335</v>
      </c>
      <c r="H14" s="6">
        <f t="shared" si="4"/>
        <v>2083.3333333333335</v>
      </c>
      <c r="I14" s="6">
        <f t="shared" si="4"/>
        <v>2083.3333333333335</v>
      </c>
    </row>
    <row r="15" spans="2:9">
      <c r="B15" s="33" t="str">
        <f>'Profit and Loss Statement'!D15</f>
        <v>General and Administrative</v>
      </c>
      <c r="C15" s="6">
        <f>$H$43/12</f>
        <v>579.74604999999997</v>
      </c>
      <c r="D15" s="6">
        <f t="shared" ref="D15:I15" si="5">$H$43/12</f>
        <v>579.74604999999997</v>
      </c>
      <c r="E15" s="6">
        <f t="shared" si="5"/>
        <v>579.74604999999997</v>
      </c>
      <c r="F15" s="6">
        <f t="shared" si="5"/>
        <v>579.74604999999997</v>
      </c>
      <c r="G15" s="6">
        <f t="shared" si="5"/>
        <v>579.74604999999997</v>
      </c>
      <c r="H15" s="6">
        <f t="shared" si="5"/>
        <v>579.74604999999997</v>
      </c>
      <c r="I15" s="6">
        <f t="shared" si="5"/>
        <v>579.74604999999997</v>
      </c>
    </row>
    <row r="16" spans="2:9">
      <c r="B16" s="33" t="str">
        <f>'Profit and Loss Statement'!D16</f>
        <v>Equipment Costs</v>
      </c>
      <c r="C16" s="6">
        <f>$H$44/12</f>
        <v>561.28280000000007</v>
      </c>
      <c r="D16" s="6">
        <f t="shared" ref="D16:I16" si="6">$H$44/12</f>
        <v>561.28280000000007</v>
      </c>
      <c r="E16" s="6">
        <f t="shared" si="6"/>
        <v>561.28280000000007</v>
      </c>
      <c r="F16" s="6">
        <f t="shared" si="6"/>
        <v>561.28280000000007</v>
      </c>
      <c r="G16" s="6">
        <f t="shared" si="6"/>
        <v>561.28280000000007</v>
      </c>
      <c r="H16" s="6">
        <f t="shared" si="6"/>
        <v>561.28280000000007</v>
      </c>
      <c r="I16" s="6">
        <f t="shared" si="6"/>
        <v>561.28280000000007</v>
      </c>
    </row>
    <row r="17" spans="2:9">
      <c r="B17" s="33" t="str">
        <f>'Profit and Loss Statement'!D17</f>
        <v>Insurance Costs</v>
      </c>
      <c r="C17" s="6">
        <f>$H$45/12</f>
        <v>493.75</v>
      </c>
      <c r="D17" s="6">
        <f t="shared" ref="D17:I17" si="7">$H$45/12</f>
        <v>493.75</v>
      </c>
      <c r="E17" s="6">
        <f t="shared" si="7"/>
        <v>493.75</v>
      </c>
      <c r="F17" s="6">
        <f t="shared" si="7"/>
        <v>493.75</v>
      </c>
      <c r="G17" s="6">
        <f t="shared" si="7"/>
        <v>493.75</v>
      </c>
      <c r="H17" s="6">
        <f t="shared" si="7"/>
        <v>493.75</v>
      </c>
      <c r="I17" s="6">
        <f t="shared" si="7"/>
        <v>493.75</v>
      </c>
    </row>
    <row r="18" spans="2:9">
      <c r="B18" s="33" t="str">
        <f>'Profit and Loss Statement'!D18</f>
        <v>Marketing</v>
      </c>
      <c r="C18" s="6">
        <f>$H$46/12</f>
        <v>443.11799999999999</v>
      </c>
      <c r="D18" s="6">
        <f t="shared" ref="D18:I18" si="8">$H$46/12</f>
        <v>443.11799999999999</v>
      </c>
      <c r="E18" s="6">
        <f t="shared" si="8"/>
        <v>443.11799999999999</v>
      </c>
      <c r="F18" s="6">
        <f t="shared" si="8"/>
        <v>443.11799999999999</v>
      </c>
      <c r="G18" s="6">
        <f t="shared" si="8"/>
        <v>443.11799999999999</v>
      </c>
      <c r="H18" s="6">
        <f t="shared" si="8"/>
        <v>443.11799999999999</v>
      </c>
      <c r="I18" s="6">
        <f t="shared" si="8"/>
        <v>443.11799999999999</v>
      </c>
    </row>
    <row r="19" spans="2:9">
      <c r="B19" s="33" t="str">
        <f>'Profit and Loss Statement'!D19</f>
        <v>Professional Fees and Licensure</v>
      </c>
      <c r="C19" s="6">
        <f>$H$47/12</f>
        <v>416.66666666666669</v>
      </c>
      <c r="D19" s="6">
        <f t="shared" ref="D19:I19" si="9">$H$47/12</f>
        <v>416.66666666666669</v>
      </c>
      <c r="E19" s="6">
        <f t="shared" si="9"/>
        <v>416.66666666666669</v>
      </c>
      <c r="F19" s="6">
        <f t="shared" si="9"/>
        <v>416.66666666666669</v>
      </c>
      <c r="G19" s="6">
        <f t="shared" si="9"/>
        <v>416.66666666666669</v>
      </c>
      <c r="H19" s="6">
        <f t="shared" si="9"/>
        <v>416.66666666666669</v>
      </c>
      <c r="I19" s="6">
        <f t="shared" si="9"/>
        <v>416.66666666666669</v>
      </c>
    </row>
    <row r="20" spans="2:9">
      <c r="B20" s="29" t="s">
        <v>14</v>
      </c>
      <c r="C20" s="6">
        <f>$H$48/12</f>
        <v>1259.0625</v>
      </c>
      <c r="D20" s="6">
        <f t="shared" ref="D20:I20" si="10">$H$48/12</f>
        <v>1259.0625</v>
      </c>
      <c r="E20" s="6">
        <f t="shared" si="10"/>
        <v>1259.0625</v>
      </c>
      <c r="F20" s="6">
        <f t="shared" si="10"/>
        <v>1259.0625</v>
      </c>
      <c r="G20" s="6">
        <f t="shared" si="10"/>
        <v>1259.0625</v>
      </c>
      <c r="H20" s="6">
        <f t="shared" si="10"/>
        <v>1259.0625</v>
      </c>
      <c r="I20" s="6">
        <f t="shared" si="10"/>
        <v>1259.0625</v>
      </c>
    </row>
    <row r="21" spans="2:9">
      <c r="B21" s="28" t="s">
        <v>8</v>
      </c>
      <c r="C21" s="6">
        <f>SUM(C13:C20)</f>
        <v>22295.292683333333</v>
      </c>
      <c r="D21" s="6">
        <f t="shared" ref="D21:I21" si="11">SUM(D13:D20)</f>
        <v>22295.292683333333</v>
      </c>
      <c r="E21" s="6">
        <f t="shared" si="11"/>
        <v>22295.292683333333</v>
      </c>
      <c r="F21" s="6">
        <f t="shared" si="11"/>
        <v>22295.292683333333</v>
      </c>
      <c r="G21" s="6">
        <f t="shared" si="11"/>
        <v>22295.292683333333</v>
      </c>
      <c r="H21" s="6">
        <f t="shared" si="11"/>
        <v>22295.292683333333</v>
      </c>
      <c r="I21" s="6">
        <f t="shared" si="11"/>
        <v>22295.292683333333</v>
      </c>
    </row>
    <row r="22" spans="2:9">
      <c r="B22" s="30"/>
    </row>
    <row r="23" spans="2:9">
      <c r="B23" s="24" t="s">
        <v>47</v>
      </c>
      <c r="C23" s="25">
        <f>C10-C21</f>
        <v>11464.707316666667</v>
      </c>
      <c r="D23" s="25">
        <f t="shared" ref="D23:I23" si="12">D10-D21</f>
        <v>11485.807316666665</v>
      </c>
      <c r="E23" s="25">
        <f t="shared" si="12"/>
        <v>11506.907316666664</v>
      </c>
      <c r="F23" s="25">
        <f t="shared" si="12"/>
        <v>11528.00731666667</v>
      </c>
      <c r="G23" s="25">
        <f t="shared" si="12"/>
        <v>11549.107316666668</v>
      </c>
      <c r="H23" s="25">
        <f t="shared" si="12"/>
        <v>11570.207316666667</v>
      </c>
      <c r="I23" s="25">
        <f t="shared" si="12"/>
        <v>11591.307316666665</v>
      </c>
    </row>
    <row r="24" spans="2:9">
      <c r="B24" s="29" t="s">
        <v>15</v>
      </c>
      <c r="C24" s="6">
        <f>(C6/$H$34)*$H$52</f>
        <v>2709.8820161152048</v>
      </c>
      <c r="D24" s="6">
        <f t="shared" ref="D24:I24" si="13">(D6/$H$34)*$H$52</f>
        <v>2711.5756923752765</v>
      </c>
      <c r="E24" s="6">
        <f t="shared" si="13"/>
        <v>2713.2693686353487</v>
      </c>
      <c r="F24" s="6">
        <f t="shared" si="13"/>
        <v>2714.9630448954208</v>
      </c>
      <c r="G24" s="6">
        <f t="shared" si="13"/>
        <v>2716.6567211554925</v>
      </c>
      <c r="H24" s="6">
        <f t="shared" si="13"/>
        <v>2718.3503974155647</v>
      </c>
      <c r="I24" s="6">
        <f t="shared" si="13"/>
        <v>2720.0440736756368</v>
      </c>
    </row>
    <row r="25" spans="2:9">
      <c r="B25" s="29" t="s">
        <v>102</v>
      </c>
      <c r="C25" s="6">
        <f>(C6/$H$34)*$H$53</f>
        <v>541.97640322304096</v>
      </c>
      <c r="D25" s="6">
        <f t="shared" ref="D25:I25" si="14">(D6/$H$34)*$H$53</f>
        <v>542.31513847505539</v>
      </c>
      <c r="E25" s="6">
        <f t="shared" si="14"/>
        <v>542.65387372706982</v>
      </c>
      <c r="F25" s="6">
        <f t="shared" si="14"/>
        <v>542.99260897908414</v>
      </c>
      <c r="G25" s="6">
        <f t="shared" si="14"/>
        <v>543.33134423109857</v>
      </c>
      <c r="H25" s="6">
        <f t="shared" si="14"/>
        <v>543.670079483113</v>
      </c>
      <c r="I25" s="6">
        <f t="shared" si="14"/>
        <v>544.00881473512743</v>
      </c>
    </row>
    <row r="26" spans="2:9">
      <c r="B26" s="29" t="s">
        <v>16</v>
      </c>
      <c r="C26" s="6">
        <f>'Loan Amortization Table'!D14</f>
        <v>450</v>
      </c>
      <c r="D26" s="6">
        <f>'Loan Amortization Table'!D15</f>
        <v>447.67459018123873</v>
      </c>
      <c r="E26" s="6">
        <f>'Loan Amortization Table'!D16</f>
        <v>445.33173978883679</v>
      </c>
      <c r="F26" s="6">
        <f>'Loan Amortization Table'!D17</f>
        <v>442.97131801849184</v>
      </c>
      <c r="G26" s="6">
        <f>'Loan Amortization Table'!D18</f>
        <v>440.59319308486931</v>
      </c>
      <c r="H26" s="6">
        <f>'Loan Amortization Table'!D19</f>
        <v>438.19723221424459</v>
      </c>
      <c r="I26" s="6">
        <f>'Loan Amortization Table'!D20</f>
        <v>435.78330163709018</v>
      </c>
    </row>
    <row r="27" spans="2:9">
      <c r="B27" s="29" t="s">
        <v>54</v>
      </c>
      <c r="C27" s="6">
        <f>$H$55/12</f>
        <v>267.08333333333331</v>
      </c>
      <c r="D27" s="6">
        <f t="shared" ref="D27:I27" si="15">$H$55/12</f>
        <v>267.08333333333331</v>
      </c>
      <c r="E27" s="6">
        <f t="shared" si="15"/>
        <v>267.08333333333331</v>
      </c>
      <c r="F27" s="6">
        <f t="shared" si="15"/>
        <v>267.08333333333331</v>
      </c>
      <c r="G27" s="6">
        <f t="shared" si="15"/>
        <v>267.08333333333331</v>
      </c>
      <c r="H27" s="6">
        <f t="shared" si="15"/>
        <v>267.08333333333331</v>
      </c>
      <c r="I27" s="6">
        <f t="shared" si="15"/>
        <v>267.08333333333331</v>
      </c>
    </row>
    <row r="28" spans="2:9">
      <c r="B28" s="38" t="s">
        <v>17</v>
      </c>
      <c r="C28" s="39">
        <f>C23-SUM(C24:C27)</f>
        <v>7495.7655639950881</v>
      </c>
      <c r="D28" s="39">
        <f t="shared" ref="D28:I28" si="16">D23-SUM(D24:D27)</f>
        <v>7517.1585623017618</v>
      </c>
      <c r="E28" s="39">
        <f t="shared" si="16"/>
        <v>7538.5690011820752</v>
      </c>
      <c r="F28" s="39">
        <f t="shared" si="16"/>
        <v>7559.9970114403395</v>
      </c>
      <c r="G28" s="39">
        <f t="shared" si="16"/>
        <v>7581.442724861874</v>
      </c>
      <c r="H28" s="39">
        <f t="shared" si="16"/>
        <v>7602.9062742204114</v>
      </c>
      <c r="I28" s="39">
        <f t="shared" si="16"/>
        <v>7624.3877932854775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36961</v>
      </c>
      <c r="D34" s="6">
        <f>Inputs!K42</f>
        <v>36984</v>
      </c>
      <c r="E34" s="6">
        <f>Inputs!L42</f>
        <v>37007</v>
      </c>
      <c r="F34" s="6">
        <f>Inputs!M42</f>
        <v>37030</v>
      </c>
      <c r="G34" s="6">
        <f>Inputs!N42</f>
        <v>37053</v>
      </c>
      <c r="H34" s="6">
        <f>'Profit and Loss Statement'!E6</f>
        <v>443118</v>
      </c>
    </row>
    <row r="35" spans="2:8">
      <c r="B35" s="31" t="s">
        <v>52</v>
      </c>
      <c r="C35" s="6">
        <f>Inputs!J61</f>
        <v>3053.3</v>
      </c>
      <c r="D35" s="6">
        <f>Inputs!K61</f>
        <v>3055.2</v>
      </c>
      <c r="E35" s="6">
        <f>Inputs!L61</f>
        <v>3057.1</v>
      </c>
      <c r="F35" s="6">
        <f>Inputs!M61</f>
        <v>3059</v>
      </c>
      <c r="G35" s="6">
        <f>Inputs!N61</f>
        <v>3060.8999999999996</v>
      </c>
      <c r="H35" s="6">
        <f>'Profit and Loss Statement'!E7</f>
        <v>36605.4</v>
      </c>
    </row>
    <row r="36" spans="2:8">
      <c r="B36" s="29" t="s">
        <v>12</v>
      </c>
      <c r="C36" s="17">
        <f>1-(C35/C34)</f>
        <v>0.91739130434782612</v>
      </c>
      <c r="D36" s="17">
        <f t="shared" ref="D36:H36" si="18">1-(D35/D34)</f>
        <v>0.91739130434782612</v>
      </c>
      <c r="E36" s="17">
        <f t="shared" si="18"/>
        <v>0.91739130434782612</v>
      </c>
      <c r="F36" s="17">
        <f t="shared" si="18"/>
        <v>0.91739130434782612</v>
      </c>
      <c r="G36" s="17">
        <f t="shared" si="18"/>
        <v>0.91739130434782612</v>
      </c>
      <c r="H36" s="17">
        <f t="shared" si="18"/>
        <v>0.91739130434782612</v>
      </c>
    </row>
    <row r="37" spans="2:8">
      <c r="B37" s="30"/>
    </row>
    <row r="38" spans="2:8">
      <c r="B38" s="37" t="s">
        <v>10</v>
      </c>
      <c r="C38" s="6">
        <f>C34-C35</f>
        <v>33907.699999999997</v>
      </c>
      <c r="D38" s="6">
        <f t="shared" ref="D38:H38" si="19">D34-D35</f>
        <v>33928.800000000003</v>
      </c>
      <c r="E38" s="6">
        <f t="shared" si="19"/>
        <v>33949.9</v>
      </c>
      <c r="F38" s="6">
        <f t="shared" si="19"/>
        <v>33971</v>
      </c>
      <c r="G38" s="6">
        <f t="shared" si="19"/>
        <v>33992.1</v>
      </c>
      <c r="H38" s="6">
        <f t="shared" si="19"/>
        <v>406512.6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16458.333333333332</v>
      </c>
      <c r="D41" s="6">
        <f t="shared" ref="D41:G41" si="20">$H$41/12</f>
        <v>16458.333333333332</v>
      </c>
      <c r="E41" s="6">
        <f t="shared" si="20"/>
        <v>16458.333333333332</v>
      </c>
      <c r="F41" s="6">
        <f t="shared" si="20"/>
        <v>16458.333333333332</v>
      </c>
      <c r="G41" s="6">
        <f t="shared" si="20"/>
        <v>16458.333333333332</v>
      </c>
      <c r="H41" s="6">
        <f>'Profit and Loss Statement'!E13</f>
        <v>197500</v>
      </c>
    </row>
    <row r="42" spans="2:8">
      <c r="B42" s="33" t="str">
        <f>B14</f>
        <v>Facility Costs</v>
      </c>
      <c r="C42" s="6">
        <f>$H$42/12</f>
        <v>2083.3333333333335</v>
      </c>
      <c r="D42" s="6">
        <f t="shared" ref="D42:G42" si="21">$H$42/12</f>
        <v>2083.3333333333335</v>
      </c>
      <c r="E42" s="6">
        <f t="shared" si="21"/>
        <v>2083.3333333333335</v>
      </c>
      <c r="F42" s="6">
        <f t="shared" si="21"/>
        <v>2083.3333333333335</v>
      </c>
      <c r="G42" s="6">
        <f t="shared" si="21"/>
        <v>2083.3333333333335</v>
      </c>
      <c r="H42" s="6">
        <f>'Profit and Loss Statement'!E14</f>
        <v>25000</v>
      </c>
    </row>
    <row r="43" spans="2:8">
      <c r="B43" s="33" t="str">
        <f t="shared" ref="B43:B47" si="22">B15</f>
        <v>General and Administrative</v>
      </c>
      <c r="C43" s="6">
        <f>$H$43/12</f>
        <v>579.74604999999997</v>
      </c>
      <c r="D43" s="6">
        <f t="shared" ref="D43:G43" si="23">$H$43/12</f>
        <v>579.74604999999997</v>
      </c>
      <c r="E43" s="6">
        <f t="shared" si="23"/>
        <v>579.74604999999997</v>
      </c>
      <c r="F43" s="6">
        <f t="shared" si="23"/>
        <v>579.74604999999997</v>
      </c>
      <c r="G43" s="6">
        <f t="shared" si="23"/>
        <v>579.74604999999997</v>
      </c>
      <c r="H43" s="6">
        <f>'Profit and Loss Statement'!E15</f>
        <v>6956.9525999999996</v>
      </c>
    </row>
    <row r="44" spans="2:8">
      <c r="B44" s="33" t="str">
        <f t="shared" si="22"/>
        <v>Equipment Costs</v>
      </c>
      <c r="C44" s="6">
        <f>$H$44/12</f>
        <v>561.28280000000007</v>
      </c>
      <c r="D44" s="6">
        <f t="shared" ref="D44:G44" si="24">$H$44/12</f>
        <v>561.28280000000007</v>
      </c>
      <c r="E44" s="6">
        <f t="shared" si="24"/>
        <v>561.28280000000007</v>
      </c>
      <c r="F44" s="6">
        <f t="shared" si="24"/>
        <v>561.28280000000007</v>
      </c>
      <c r="G44" s="6">
        <f t="shared" si="24"/>
        <v>561.28280000000007</v>
      </c>
      <c r="H44" s="6">
        <f>'Profit and Loss Statement'!E16</f>
        <v>6735.3936000000003</v>
      </c>
    </row>
    <row r="45" spans="2:8">
      <c r="B45" s="33" t="str">
        <f t="shared" si="22"/>
        <v>Insurance Costs</v>
      </c>
      <c r="C45" s="6">
        <f>$H$45/12</f>
        <v>493.75</v>
      </c>
      <c r="D45" s="6">
        <f t="shared" ref="D45:G45" si="25">$H$45/12</f>
        <v>493.75</v>
      </c>
      <c r="E45" s="6">
        <f t="shared" si="25"/>
        <v>493.75</v>
      </c>
      <c r="F45" s="6">
        <f t="shared" si="25"/>
        <v>493.75</v>
      </c>
      <c r="G45" s="6">
        <f t="shared" si="25"/>
        <v>493.75</v>
      </c>
      <c r="H45" s="6">
        <f>'Profit and Loss Statement'!E17</f>
        <v>5925</v>
      </c>
    </row>
    <row r="46" spans="2:8">
      <c r="B46" s="33" t="str">
        <f t="shared" si="22"/>
        <v>Marketing</v>
      </c>
      <c r="C46" s="6">
        <f>$H$46/12</f>
        <v>443.11799999999999</v>
      </c>
      <c r="D46" s="6">
        <f t="shared" ref="D46:G46" si="26">$H$46/12</f>
        <v>443.11799999999999</v>
      </c>
      <c r="E46" s="6">
        <f t="shared" si="26"/>
        <v>443.11799999999999</v>
      </c>
      <c r="F46" s="6">
        <f t="shared" si="26"/>
        <v>443.11799999999999</v>
      </c>
      <c r="G46" s="6">
        <f t="shared" si="26"/>
        <v>443.11799999999999</v>
      </c>
      <c r="H46" s="6">
        <f>'Profit and Loss Statement'!E18</f>
        <v>5317.4160000000002</v>
      </c>
    </row>
    <row r="47" spans="2:8">
      <c r="B47" s="33" t="str">
        <f t="shared" si="22"/>
        <v>Professional Fees and Licensure</v>
      </c>
      <c r="C47" s="6">
        <f>$H$47/12</f>
        <v>416.66666666666669</v>
      </c>
      <c r="D47" s="6">
        <f t="shared" ref="D47:G47" si="27">$H$47/12</f>
        <v>416.66666666666669</v>
      </c>
      <c r="E47" s="6">
        <f t="shared" si="27"/>
        <v>416.66666666666669</v>
      </c>
      <c r="F47" s="6">
        <f t="shared" si="27"/>
        <v>416.66666666666669</v>
      </c>
      <c r="G47" s="6">
        <f t="shared" si="27"/>
        <v>416.66666666666669</v>
      </c>
      <c r="H47" s="6">
        <f>'Profit and Loss Statement'!E19</f>
        <v>5000</v>
      </c>
    </row>
    <row r="48" spans="2:8">
      <c r="B48" s="29" t="s">
        <v>14</v>
      </c>
      <c r="C48" s="6">
        <f>$H$48/12</f>
        <v>1259.0625</v>
      </c>
      <c r="D48" s="6">
        <f t="shared" ref="D48:G48" si="28">$H$48/12</f>
        <v>1259.0625</v>
      </c>
      <c r="E48" s="6">
        <f t="shared" si="28"/>
        <v>1259.0625</v>
      </c>
      <c r="F48" s="6">
        <f t="shared" si="28"/>
        <v>1259.0625</v>
      </c>
      <c r="G48" s="6">
        <f t="shared" si="28"/>
        <v>1259.0625</v>
      </c>
      <c r="H48" s="6">
        <f>'Profit and Loss Statement'!E20</f>
        <v>15108.75</v>
      </c>
    </row>
    <row r="49" spans="2:15">
      <c r="B49" s="28" t="s">
        <v>8</v>
      </c>
      <c r="C49" s="6">
        <f>SUM(C41:C48)</f>
        <v>22295.292683333333</v>
      </c>
      <c r="D49" s="6">
        <f t="shared" ref="D49:G49" si="29">SUM(D41:D48)</f>
        <v>22295.292683333333</v>
      </c>
      <c r="E49" s="6">
        <f t="shared" si="29"/>
        <v>22295.292683333333</v>
      </c>
      <c r="F49" s="6">
        <f t="shared" si="29"/>
        <v>22295.292683333333</v>
      </c>
      <c r="G49" s="6">
        <f t="shared" si="29"/>
        <v>22295.292683333333</v>
      </c>
      <c r="H49" s="6">
        <f>'Profit and Loss Statement'!E21</f>
        <v>267543.5122</v>
      </c>
    </row>
    <row r="50" spans="2:15">
      <c r="B50" s="30"/>
    </row>
    <row r="51" spans="2:15">
      <c r="B51" s="24" t="s">
        <v>47</v>
      </c>
      <c r="C51" s="25">
        <f>C38-C49</f>
        <v>11612.407316666664</v>
      </c>
      <c r="D51" s="25">
        <f t="shared" ref="D51:H51" si="30">D38-D49</f>
        <v>11633.50731666667</v>
      </c>
      <c r="E51" s="25">
        <f t="shared" si="30"/>
        <v>11654.607316666668</v>
      </c>
      <c r="F51" s="25">
        <f t="shared" si="30"/>
        <v>11675.707316666667</v>
      </c>
      <c r="G51" s="25">
        <f t="shared" si="30"/>
        <v>11696.807316666665</v>
      </c>
      <c r="H51" s="25">
        <f t="shared" si="30"/>
        <v>138969.08779999998</v>
      </c>
    </row>
    <row r="52" spans="2:15">
      <c r="B52" s="29" t="s">
        <v>15</v>
      </c>
      <c r="C52" s="6">
        <f>(C34/$H$34)*$H$52</f>
        <v>2721.7377499357085</v>
      </c>
      <c r="D52" s="6">
        <f t="shared" ref="D52:G52" si="31">(D34/$H$34)*$H$52</f>
        <v>2723.4314261957807</v>
      </c>
      <c r="E52" s="6">
        <f t="shared" si="31"/>
        <v>2725.1251024558528</v>
      </c>
      <c r="F52" s="6">
        <f t="shared" si="31"/>
        <v>2726.8187787159245</v>
      </c>
      <c r="G52" s="6">
        <f t="shared" si="31"/>
        <v>2728.5124549759967</v>
      </c>
      <c r="H52" s="6">
        <f>'Profit and Loss Statement'!E24</f>
        <v>32630.366826547208</v>
      </c>
    </row>
    <row r="53" spans="2:15">
      <c r="B53" s="29" t="s">
        <v>102</v>
      </c>
      <c r="C53" s="6">
        <f>(C34/$H$34)*$H$53</f>
        <v>544.34754998714175</v>
      </c>
      <c r="D53" s="6">
        <f t="shared" ref="D53:G53" si="32">(D34/$H$34)*$H$53</f>
        <v>544.68628523915618</v>
      </c>
      <c r="E53" s="6">
        <f t="shared" si="32"/>
        <v>545.02502049117061</v>
      </c>
      <c r="F53" s="6">
        <f t="shared" si="32"/>
        <v>545.36375574318492</v>
      </c>
      <c r="G53" s="6">
        <f t="shared" si="32"/>
        <v>545.70249099519935</v>
      </c>
      <c r="H53" s="6">
        <f>'Profit and Loss Statement'!E25</f>
        <v>6526.0733653094421</v>
      </c>
    </row>
    <row r="54" spans="2:15">
      <c r="B54" s="29" t="s">
        <v>16</v>
      </c>
      <c r="C54" s="6">
        <f>'Loan Amortization Table'!D21</f>
        <v>433.35126658060716</v>
      </c>
      <c r="D54" s="6">
        <f>'Loan Amortization Table'!D22</f>
        <v>430.90099126120049</v>
      </c>
      <c r="E54" s="6">
        <f>'Loan Amortization Table'!D23</f>
        <v>428.43233887689831</v>
      </c>
      <c r="F54" s="6">
        <f>'Loan Amortization Table'!D24</f>
        <v>425.94517159971377</v>
      </c>
      <c r="G54" s="6">
        <f>'Loan Amortization Table'!D25</f>
        <v>423.43935056795038</v>
      </c>
      <c r="H54" s="6">
        <f>'Profit and Loss Statement'!E26</f>
        <v>5242.6204938111405</v>
      </c>
    </row>
    <row r="55" spans="2:15">
      <c r="B55" s="29" t="s">
        <v>54</v>
      </c>
      <c r="C55" s="6">
        <f>$H$55/12</f>
        <v>267.08333333333331</v>
      </c>
      <c r="D55" s="6">
        <f t="shared" ref="D55:G55" si="33">$H$55/12</f>
        <v>267.08333333333331</v>
      </c>
      <c r="E55" s="6">
        <f t="shared" si="33"/>
        <v>267.08333333333331</v>
      </c>
      <c r="F55" s="6">
        <f t="shared" si="33"/>
        <v>267.08333333333331</v>
      </c>
      <c r="G55" s="6">
        <f t="shared" si="33"/>
        <v>267.08333333333331</v>
      </c>
      <c r="H55" s="6">
        <f>'Profit and Loss Statement'!E27</f>
        <v>3205</v>
      </c>
    </row>
    <row r="56" spans="2:15">
      <c r="B56" s="38" t="s">
        <v>17</v>
      </c>
      <c r="C56" s="39">
        <f>C51-SUM(C52:C55)</f>
        <v>7645.8874168298735</v>
      </c>
      <c r="D56" s="39">
        <f t="shared" ref="D56:G56" si="34">D51-SUM(D52:D55)</f>
        <v>7667.4052806371992</v>
      </c>
      <c r="E56" s="39">
        <f t="shared" si="34"/>
        <v>7688.9415215094132</v>
      </c>
      <c r="F56" s="39">
        <f t="shared" si="34"/>
        <v>7710.4962772745102</v>
      </c>
      <c r="G56" s="39">
        <f t="shared" si="34"/>
        <v>7732.0696867941861</v>
      </c>
      <c r="H56" s="39">
        <f>'Profit and Loss Statement'!E28</f>
        <v>91365.027114332188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121857.45000000001</v>
      </c>
      <c r="D62" s="6">
        <f t="shared" ref="D62:F62" si="38">$G$62*M62</f>
        <v>121857.45000000001</v>
      </c>
      <c r="E62" s="6">
        <f t="shared" si="38"/>
        <v>121857.45000000001</v>
      </c>
      <c r="F62" s="6">
        <f t="shared" si="38"/>
        <v>121857.45000000001</v>
      </c>
      <c r="G62" s="6">
        <f>'Profit and Loss Statement'!F6</f>
        <v>487429.80000000005</v>
      </c>
      <c r="K62" s="4" t="s">
        <v>114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10066.485000000001</v>
      </c>
      <c r="D63" s="6">
        <f t="shared" ref="D63:F63" si="39">$G$63*M62</f>
        <v>10066.485000000001</v>
      </c>
      <c r="E63" s="6">
        <f t="shared" si="39"/>
        <v>10066.485000000001</v>
      </c>
      <c r="F63" s="6">
        <f t="shared" si="39"/>
        <v>10066.485000000001</v>
      </c>
      <c r="G63" s="6">
        <f>'Profit and Loss Statement'!F7</f>
        <v>40265.94</v>
      </c>
    </row>
    <row r="64" spans="2:15">
      <c r="B64" s="29" t="s">
        <v>12</v>
      </c>
      <c r="C64" s="17">
        <f>1-(C63/C62)</f>
        <v>0.91739130434782612</v>
      </c>
      <c r="D64" s="17">
        <f t="shared" ref="D64" si="40">1-(D63/D62)</f>
        <v>0.91739130434782612</v>
      </c>
      <c r="E64" s="17">
        <f t="shared" ref="E64" si="41">1-(E63/E62)</f>
        <v>0.91739130434782612</v>
      </c>
      <c r="F64" s="17">
        <f t="shared" ref="F64:G64" si="42">1-(F63/F62)</f>
        <v>0.91739130434782612</v>
      </c>
      <c r="G64" s="17">
        <f t="shared" si="42"/>
        <v>0.91739130434782612</v>
      </c>
    </row>
    <row r="65" spans="2:7">
      <c r="B65" s="30"/>
    </row>
    <row r="66" spans="2:7">
      <c r="B66" s="37" t="s">
        <v>10</v>
      </c>
      <c r="C66" s="6">
        <f>C62-C63</f>
        <v>111790.96500000001</v>
      </c>
      <c r="D66" s="6">
        <f t="shared" ref="D66:G66" si="43">D62-D63</f>
        <v>111790.96500000001</v>
      </c>
      <c r="E66" s="6">
        <f t="shared" si="43"/>
        <v>111790.96500000001</v>
      </c>
      <c r="F66" s="6">
        <f t="shared" si="43"/>
        <v>111790.96500000001</v>
      </c>
      <c r="G66" s="6">
        <f t="shared" si="43"/>
        <v>447163.86000000004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50856.25</v>
      </c>
      <c r="D69" s="6">
        <f t="shared" ref="D69:F69" si="44">$G$69/4</f>
        <v>50856.25</v>
      </c>
      <c r="E69" s="6">
        <f t="shared" si="44"/>
        <v>50856.25</v>
      </c>
      <c r="F69" s="6">
        <f t="shared" si="44"/>
        <v>50856.25</v>
      </c>
      <c r="G69" s="6">
        <f>'Profit and Loss Statement'!F13</f>
        <v>203425</v>
      </c>
    </row>
    <row r="70" spans="2:7">
      <c r="B70" s="33" t="str">
        <f>B42</f>
        <v>Facility Costs</v>
      </c>
      <c r="C70" s="6">
        <f>$G$70/4</f>
        <v>6437.5</v>
      </c>
      <c r="D70" s="6">
        <f t="shared" ref="D70:F70" si="45">$G$70/4</f>
        <v>6437.5</v>
      </c>
      <c r="E70" s="6">
        <f t="shared" si="45"/>
        <v>6437.5</v>
      </c>
      <c r="F70" s="6">
        <f t="shared" si="45"/>
        <v>6437.5</v>
      </c>
      <c r="G70" s="6">
        <f>'Profit and Loss Statement'!F14</f>
        <v>25750</v>
      </c>
    </row>
    <row r="71" spans="2:7">
      <c r="B71" s="33" t="str">
        <f t="shared" ref="B71:B75" si="46">B43</f>
        <v>General and Administrative</v>
      </c>
      <c r="C71" s="6">
        <f>$G$71/4</f>
        <v>1913.161965</v>
      </c>
      <c r="D71" s="6">
        <f t="shared" ref="D71:F71" si="47">$G$71/4</f>
        <v>1913.161965</v>
      </c>
      <c r="E71" s="6">
        <f t="shared" si="47"/>
        <v>1913.161965</v>
      </c>
      <c r="F71" s="6">
        <f t="shared" si="47"/>
        <v>1913.161965</v>
      </c>
      <c r="G71" s="6">
        <f>'Profit and Loss Statement'!F15</f>
        <v>7652.64786</v>
      </c>
    </row>
    <row r="72" spans="2:7">
      <c r="B72" s="33" t="str">
        <f t="shared" si="46"/>
        <v>Equipment Costs</v>
      </c>
      <c r="C72" s="6">
        <f>$G$72/4</f>
        <v>1852.2332400000003</v>
      </c>
      <c r="D72" s="6">
        <f t="shared" ref="D72:F72" si="48">$G$72/4</f>
        <v>1852.2332400000003</v>
      </c>
      <c r="E72" s="6">
        <f t="shared" si="48"/>
        <v>1852.2332400000003</v>
      </c>
      <c r="F72" s="6">
        <f t="shared" si="48"/>
        <v>1852.2332400000003</v>
      </c>
      <c r="G72" s="6">
        <f>'Profit and Loss Statement'!F16</f>
        <v>7408.932960000001</v>
      </c>
    </row>
    <row r="73" spans="2:7">
      <c r="B73" s="33" t="str">
        <f t="shared" si="46"/>
        <v>Insurance Costs</v>
      </c>
      <c r="C73" s="6">
        <f>$G$73/4</f>
        <v>1525.6875</v>
      </c>
      <c r="D73" s="6">
        <f t="shared" ref="D73:F73" si="49">$G$73/4</f>
        <v>1525.6875</v>
      </c>
      <c r="E73" s="6">
        <f t="shared" si="49"/>
        <v>1525.6875</v>
      </c>
      <c r="F73" s="6">
        <f t="shared" si="49"/>
        <v>1525.6875</v>
      </c>
      <c r="G73" s="6">
        <f>'Profit and Loss Statement'!F17</f>
        <v>6102.75</v>
      </c>
    </row>
    <row r="74" spans="2:7">
      <c r="B74" s="33" t="str">
        <f t="shared" si="46"/>
        <v>Marketing</v>
      </c>
      <c r="C74" s="6">
        <f>$G$74/4</f>
        <v>1462.2894000000001</v>
      </c>
      <c r="D74" s="6">
        <f t="shared" ref="D74:F74" si="50">$G$74/4</f>
        <v>1462.2894000000001</v>
      </c>
      <c r="E74" s="6">
        <f t="shared" si="50"/>
        <v>1462.2894000000001</v>
      </c>
      <c r="F74" s="6">
        <f t="shared" si="50"/>
        <v>1462.2894000000001</v>
      </c>
      <c r="G74" s="6">
        <f>'Profit and Loss Statement'!F18</f>
        <v>5849.1576000000005</v>
      </c>
    </row>
    <row r="75" spans="2:7">
      <c r="B75" s="33" t="str">
        <f t="shared" si="46"/>
        <v>Professional Fees and Licensure</v>
      </c>
      <c r="C75" s="6">
        <f>$G$75/4</f>
        <v>1687.5</v>
      </c>
      <c r="D75" s="6">
        <f t="shared" ref="D75:F75" si="51">$G$75/4</f>
        <v>1687.5</v>
      </c>
      <c r="E75" s="6">
        <f t="shared" si="51"/>
        <v>1687.5</v>
      </c>
      <c r="F75" s="6">
        <f t="shared" si="51"/>
        <v>1687.5</v>
      </c>
      <c r="G75" s="6">
        <f>'Profit and Loss Statement'!F19</f>
        <v>6750</v>
      </c>
    </row>
    <row r="76" spans="2:7">
      <c r="B76" s="29" t="s">
        <v>14</v>
      </c>
      <c r="C76" s="6">
        <f>$G$76/4</f>
        <v>3890.5031249999997</v>
      </c>
      <c r="D76" s="6">
        <f t="shared" ref="D76:F76" si="52">$G$76/4</f>
        <v>3890.5031249999997</v>
      </c>
      <c r="E76" s="6">
        <f t="shared" si="52"/>
        <v>3890.5031249999997</v>
      </c>
      <c r="F76" s="6">
        <f t="shared" si="52"/>
        <v>3890.5031249999997</v>
      </c>
      <c r="G76" s="6">
        <f>'Profit and Loss Statement'!F20</f>
        <v>15562.012499999999</v>
      </c>
    </row>
    <row r="77" spans="2:7">
      <c r="B77" s="28" t="s">
        <v>8</v>
      </c>
      <c r="C77" s="6">
        <f>SUM(C69:C76)</f>
        <v>69625.125230000005</v>
      </c>
      <c r="D77" s="6">
        <f t="shared" ref="D77:F77" si="53">SUM(D69:D76)</f>
        <v>69625.125230000005</v>
      </c>
      <c r="E77" s="6">
        <f t="shared" si="53"/>
        <v>69625.125230000005</v>
      </c>
      <c r="F77" s="6">
        <f t="shared" si="53"/>
        <v>69625.125230000005</v>
      </c>
      <c r="G77" s="6">
        <f>SUM(G69:G76)</f>
        <v>278500.50092000002</v>
      </c>
    </row>
    <row r="78" spans="2:7">
      <c r="B78" s="30"/>
    </row>
    <row r="79" spans="2:7">
      <c r="B79" s="24" t="s">
        <v>47</v>
      </c>
      <c r="C79" s="25">
        <f>C66-C77</f>
        <v>42165.839770000006</v>
      </c>
      <c r="D79" s="25">
        <f t="shared" ref="D79:F79" si="54">D66-D77</f>
        <v>42165.839770000006</v>
      </c>
      <c r="E79" s="25">
        <f t="shared" si="54"/>
        <v>42165.839770000006</v>
      </c>
      <c r="F79" s="25">
        <f t="shared" si="54"/>
        <v>42165.839770000006</v>
      </c>
      <c r="G79" s="25">
        <f t="shared" ref="G79" si="55">G66-G77</f>
        <v>168663.35908000002</v>
      </c>
    </row>
    <row r="80" spans="2:7">
      <c r="B80" s="29" t="s">
        <v>15</v>
      </c>
      <c r="C80" s="6">
        <f>$G$80*L62</f>
        <v>10036.220314930004</v>
      </c>
      <c r="D80" s="6">
        <f t="shared" ref="D80:F80" si="56">$G$80*M62</f>
        <v>10036.220314930004</v>
      </c>
      <c r="E80" s="6">
        <f t="shared" si="56"/>
        <v>10036.220314930004</v>
      </c>
      <c r="F80" s="6">
        <f t="shared" si="56"/>
        <v>10036.220314930004</v>
      </c>
      <c r="G80" s="6">
        <f>'Profit and Loss Statement'!F24</f>
        <v>40144.881259720016</v>
      </c>
    </row>
    <row r="81" spans="2:15">
      <c r="B81" s="29" t="s">
        <v>102</v>
      </c>
      <c r="C81" s="6">
        <f>$G$81*L62</f>
        <v>2007.2440629860009</v>
      </c>
      <c r="D81" s="6">
        <f t="shared" ref="D81:F81" si="57">$G$81*M62</f>
        <v>2007.2440629860009</v>
      </c>
      <c r="E81" s="6">
        <f t="shared" si="57"/>
        <v>2007.2440629860009</v>
      </c>
      <c r="F81" s="6">
        <f t="shared" si="57"/>
        <v>2007.2440629860009</v>
      </c>
      <c r="G81" s="6">
        <f>'Profit and Loss Statement'!F25</f>
        <v>8028.9762519440037</v>
      </c>
    </row>
    <row r="82" spans="2:15">
      <c r="B82" s="29" t="s">
        <v>16</v>
      </c>
      <c r="C82" s="6">
        <f>SUM('Loan Amortization Table'!D26:D28)</f>
        <v>1255.0944831165802</v>
      </c>
      <c r="D82" s="6">
        <f>SUM('Loan Amortization Table'!D29:D31)</f>
        <v>1231.8570076979399</v>
      </c>
      <c r="E82" s="6">
        <f>SUM('Loan Amortization Table'!D32:D34)</f>
        <v>1208.0927579550935</v>
      </c>
      <c r="F82" s="6">
        <f>SUM('Loan Amortization Table'!D35:D37)</f>
        <v>1183.7897923503458</v>
      </c>
      <c r="G82" s="6">
        <f>'Profit and Loss Statement'!F26</f>
        <v>4878.8340411199597</v>
      </c>
    </row>
    <row r="83" spans="2:15">
      <c r="B83" s="29" t="s">
        <v>54</v>
      </c>
      <c r="C83" s="6">
        <f>$G$83/4</f>
        <v>801.25</v>
      </c>
      <c r="D83" s="6">
        <f t="shared" ref="D83:F83" si="58">$G$83/4</f>
        <v>801.25</v>
      </c>
      <c r="E83" s="6">
        <f t="shared" si="58"/>
        <v>801.25</v>
      </c>
      <c r="F83" s="6">
        <f t="shared" si="58"/>
        <v>801.25</v>
      </c>
      <c r="G83" s="6">
        <f>'Profit and Loss Statement'!F27</f>
        <v>3205</v>
      </c>
    </row>
    <row r="84" spans="2:15">
      <c r="B84" s="38" t="s">
        <v>17</v>
      </c>
      <c r="C84" s="39">
        <f>C79-SUM(C80:C83)</f>
        <v>28066.030908967419</v>
      </c>
      <c r="D84" s="39">
        <f t="shared" ref="D84:F84" si="59">D79-SUM(D80:D83)</f>
        <v>28089.268384386061</v>
      </c>
      <c r="E84" s="39">
        <f t="shared" si="59"/>
        <v>28113.032634128907</v>
      </c>
      <c r="F84" s="39">
        <f t="shared" si="59"/>
        <v>28137.335599733655</v>
      </c>
      <c r="G84" s="39">
        <f>'Profit and Loss Statement'!F28</f>
        <v>112405.66752721605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134043.19500000004</v>
      </c>
      <c r="D92" s="6">
        <f t="shared" ref="D92:F92" si="64">$G$92*M92</f>
        <v>134043.19500000004</v>
      </c>
      <c r="E92" s="6">
        <f t="shared" si="64"/>
        <v>134043.19500000004</v>
      </c>
      <c r="F92" s="6">
        <f t="shared" si="64"/>
        <v>134043.19500000004</v>
      </c>
      <c r="G92" s="6">
        <f>'Profit and Loss Statement'!G6</f>
        <v>536172.78000000014</v>
      </c>
      <c r="K92" s="4" t="s">
        <v>114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11073.133500000004</v>
      </c>
      <c r="D93" s="6">
        <f t="shared" ref="D93:F93" si="65">$G$93*M92</f>
        <v>11073.133500000004</v>
      </c>
      <c r="E93" s="6">
        <f t="shared" si="65"/>
        <v>11073.133500000004</v>
      </c>
      <c r="F93" s="6">
        <f t="shared" si="65"/>
        <v>11073.133500000004</v>
      </c>
      <c r="G93" s="6">
        <f>'Profit and Loss Statement'!G7</f>
        <v>44292.534000000014</v>
      </c>
    </row>
    <row r="94" spans="2:15">
      <c r="B94" s="29" t="s">
        <v>12</v>
      </c>
      <c r="C94" s="17">
        <f>1-(C93/C92)</f>
        <v>0.91739130434782612</v>
      </c>
      <c r="D94" s="17">
        <f t="shared" ref="D94:G94" si="66">1-(D93/D92)</f>
        <v>0.91739130434782612</v>
      </c>
      <c r="E94" s="17">
        <f t="shared" si="66"/>
        <v>0.91739130434782612</v>
      </c>
      <c r="F94" s="17">
        <f t="shared" si="66"/>
        <v>0.91739130434782612</v>
      </c>
      <c r="G94" s="17">
        <f t="shared" si="66"/>
        <v>0.91739130434782612</v>
      </c>
    </row>
    <row r="95" spans="2:15">
      <c r="B95" s="30"/>
    </row>
    <row r="96" spans="2:15">
      <c r="B96" s="37" t="s">
        <v>10</v>
      </c>
      <c r="C96" s="6">
        <f>C92-C93</f>
        <v>122970.06150000004</v>
      </c>
      <c r="D96" s="6">
        <f t="shared" ref="D96:G96" si="67">D92-D93</f>
        <v>122970.06150000004</v>
      </c>
      <c r="E96" s="6">
        <f t="shared" si="67"/>
        <v>122970.06150000004</v>
      </c>
      <c r="F96" s="6">
        <f t="shared" si="67"/>
        <v>122970.06150000004</v>
      </c>
      <c r="G96" s="6">
        <f t="shared" si="67"/>
        <v>491880.24600000016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52381.9375</v>
      </c>
      <c r="D99" s="6">
        <f>$G$99/4</f>
        <v>52381.9375</v>
      </c>
      <c r="E99" s="6">
        <f>$G$99/4</f>
        <v>52381.9375</v>
      </c>
      <c r="F99" s="6">
        <f>$G$99/4</f>
        <v>52381.9375</v>
      </c>
      <c r="G99" s="6">
        <f>'Profit and Loss Statement'!G13</f>
        <v>209527.75</v>
      </c>
    </row>
    <row r="100" spans="2:7">
      <c r="B100" s="33" t="str">
        <f>B70</f>
        <v>Facility Costs</v>
      </c>
      <c r="C100" s="6">
        <f>$G$100/4</f>
        <v>6630.625</v>
      </c>
      <c r="D100" s="6">
        <f t="shared" ref="D100:F100" si="68">$G$100/4</f>
        <v>6630.625</v>
      </c>
      <c r="E100" s="6">
        <f t="shared" si="68"/>
        <v>6630.625</v>
      </c>
      <c r="F100" s="6">
        <f t="shared" si="68"/>
        <v>6630.625</v>
      </c>
      <c r="G100" s="6">
        <f>'Profit and Loss Statement'!G14</f>
        <v>26522.5</v>
      </c>
    </row>
    <row r="101" spans="2:7">
      <c r="B101" s="33" t="str">
        <f t="shared" ref="B101:B105" si="69">B71</f>
        <v>General and Administrative</v>
      </c>
      <c r="C101" s="6">
        <f>$G101/4</f>
        <v>2104.4781615000002</v>
      </c>
      <c r="D101" s="6">
        <f t="shared" ref="D101:F101" si="70">$G101/4</f>
        <v>2104.4781615000002</v>
      </c>
      <c r="E101" s="6">
        <f t="shared" si="70"/>
        <v>2104.4781615000002</v>
      </c>
      <c r="F101" s="6">
        <f t="shared" si="70"/>
        <v>2104.4781615000002</v>
      </c>
      <c r="G101" s="6">
        <f>'Profit and Loss Statement'!G15</f>
        <v>8417.9126460000007</v>
      </c>
    </row>
    <row r="102" spans="2:7">
      <c r="B102" s="33" t="str">
        <f t="shared" si="69"/>
        <v>Equipment Costs</v>
      </c>
      <c r="C102" s="6">
        <f>$G$102/4</f>
        <v>2037.4565640000005</v>
      </c>
      <c r="D102" s="6">
        <f t="shared" ref="D102:F102" si="71">$G$102/4</f>
        <v>2037.4565640000005</v>
      </c>
      <c r="E102" s="6">
        <f t="shared" si="71"/>
        <v>2037.4565640000005</v>
      </c>
      <c r="F102" s="6">
        <f t="shared" si="71"/>
        <v>2037.4565640000005</v>
      </c>
      <c r="G102" s="6">
        <f>'Profit and Loss Statement'!G16</f>
        <v>8149.8262560000021</v>
      </c>
    </row>
    <row r="103" spans="2:7">
      <c r="B103" s="33" t="str">
        <f t="shared" si="69"/>
        <v>Insurance Costs</v>
      </c>
      <c r="C103" s="6">
        <f>$G$103/4</f>
        <v>1571.4581249999999</v>
      </c>
      <c r="D103" s="6">
        <f t="shared" ref="D103:F103" si="72">$G$103/4</f>
        <v>1571.4581249999999</v>
      </c>
      <c r="E103" s="6">
        <f t="shared" si="72"/>
        <v>1571.4581249999999</v>
      </c>
      <c r="F103" s="6">
        <f t="shared" si="72"/>
        <v>1571.4581249999999</v>
      </c>
      <c r="G103" s="6">
        <f>'Profit and Loss Statement'!G17</f>
        <v>6285.8324999999995</v>
      </c>
    </row>
    <row r="104" spans="2:7">
      <c r="B104" s="33" t="str">
        <f t="shared" si="69"/>
        <v>Marketing</v>
      </c>
      <c r="C104" s="6">
        <f>$G$104/4</f>
        <v>1608.5183400000005</v>
      </c>
      <c r="D104" s="6">
        <f t="shared" ref="D104:F104" si="73">$G$104/4</f>
        <v>1608.5183400000005</v>
      </c>
      <c r="E104" s="6">
        <f t="shared" si="73"/>
        <v>1608.5183400000005</v>
      </c>
      <c r="F104" s="6">
        <f t="shared" si="73"/>
        <v>1608.5183400000005</v>
      </c>
      <c r="G104" s="6">
        <f>'Profit and Loss Statement'!G18</f>
        <v>6434.0733600000021</v>
      </c>
    </row>
    <row r="105" spans="2:7">
      <c r="B105" s="33" t="str">
        <f t="shared" si="69"/>
        <v>Professional Fees and Licensure</v>
      </c>
      <c r="C105" s="6">
        <f>$G$105/4</f>
        <v>2278.125</v>
      </c>
      <c r="D105" s="6">
        <f t="shared" ref="D105:F105" si="74">$G$105/4</f>
        <v>2278.125</v>
      </c>
      <c r="E105" s="6">
        <f t="shared" si="74"/>
        <v>2278.125</v>
      </c>
      <c r="F105" s="6">
        <f t="shared" si="74"/>
        <v>2278.125</v>
      </c>
      <c r="G105" s="6">
        <f>'Profit and Loss Statement'!G19</f>
        <v>9112.5</v>
      </c>
    </row>
    <row r="106" spans="2:7">
      <c r="B106" s="29" t="s">
        <v>14</v>
      </c>
      <c r="C106" s="6">
        <f>$G$106/4</f>
        <v>4007.2182187499998</v>
      </c>
      <c r="D106" s="6">
        <f t="shared" ref="D106:F106" si="75">$G$106/4</f>
        <v>4007.2182187499998</v>
      </c>
      <c r="E106" s="6">
        <f t="shared" si="75"/>
        <v>4007.2182187499998</v>
      </c>
      <c r="F106" s="6">
        <f t="shared" si="75"/>
        <v>4007.2182187499998</v>
      </c>
      <c r="G106" s="6">
        <f>'Profit and Loss Statement'!G20</f>
        <v>16028.872874999999</v>
      </c>
    </row>
    <row r="107" spans="2:7">
      <c r="B107" s="28" t="s">
        <v>8</v>
      </c>
      <c r="C107" s="6">
        <f>SUM(C99:C106)</f>
        <v>72619.816909250003</v>
      </c>
      <c r="D107" s="6">
        <f t="shared" ref="D107:F107" si="76">SUM(D99:D106)</f>
        <v>72619.816909250003</v>
      </c>
      <c r="E107" s="6">
        <f t="shared" si="76"/>
        <v>72619.816909250003</v>
      </c>
      <c r="F107" s="6">
        <f t="shared" si="76"/>
        <v>72619.816909250003</v>
      </c>
      <c r="G107" s="6">
        <f>SUM(G99:G106)</f>
        <v>290479.26763700001</v>
      </c>
    </row>
    <row r="108" spans="2:7">
      <c r="B108" s="30"/>
    </row>
    <row r="109" spans="2:7">
      <c r="B109" s="24" t="s">
        <v>47</v>
      </c>
      <c r="C109" s="25">
        <f>C96-C107</f>
        <v>50350.244590750037</v>
      </c>
      <c r="D109" s="25">
        <f t="shared" ref="D109:G109" si="77">D96-D107</f>
        <v>50350.244590750037</v>
      </c>
      <c r="E109" s="25">
        <f t="shared" si="77"/>
        <v>50350.244590750037</v>
      </c>
      <c r="F109" s="25">
        <f t="shared" si="77"/>
        <v>50350.244590750037</v>
      </c>
      <c r="G109" s="25">
        <f t="shared" si="77"/>
        <v>201400.97836300015</v>
      </c>
    </row>
    <row r="110" spans="2:7">
      <c r="B110" s="29" t="s">
        <v>15</v>
      </c>
      <c r="C110" s="6">
        <f>$G$110*L92</f>
        <v>12107.191028319567</v>
      </c>
      <c r="D110" s="6">
        <f t="shared" ref="D110:F110" si="78">$G$110*M92</f>
        <v>12107.191028319567</v>
      </c>
      <c r="E110" s="6">
        <f t="shared" si="78"/>
        <v>12107.191028319567</v>
      </c>
      <c r="F110" s="6">
        <f t="shared" si="78"/>
        <v>12107.191028319567</v>
      </c>
      <c r="G110" s="6">
        <f>'Profit and Loss Statement'!G24</f>
        <v>48428.764113278266</v>
      </c>
    </row>
    <row r="111" spans="2:7">
      <c r="B111" s="29" t="s">
        <v>102</v>
      </c>
      <c r="C111" s="6">
        <f>$G$111*L92</f>
        <v>2421.4382056639133</v>
      </c>
      <c r="D111" s="6">
        <f t="shared" ref="D111:F111" si="79">$G$111*M92</f>
        <v>2421.4382056639133</v>
      </c>
      <c r="E111" s="6">
        <f t="shared" si="79"/>
        <v>2421.4382056639133</v>
      </c>
      <c r="F111" s="6">
        <f t="shared" si="79"/>
        <v>2421.4382056639133</v>
      </c>
      <c r="G111" s="6">
        <f>'Profit and Loss Statement'!G25</f>
        <v>9685.7528226556533</v>
      </c>
    </row>
    <row r="112" spans="2:7">
      <c r="B112" s="29" t="s">
        <v>16</v>
      </c>
      <c r="C112" s="6">
        <f>SUM('Loan Amortization Table'!D38:D40)</f>
        <v>1158.9358986412319</v>
      </c>
      <c r="D112" s="6">
        <f>SUM('Loan Amortization Table'!D41:D43)</f>
        <v>1133.5185877438632</v>
      </c>
      <c r="E112" s="6">
        <f>SUM('Loan Amortization Table'!D44:D46)</f>
        <v>1107.525087457162</v>
      </c>
      <c r="F112" s="6">
        <f>SUM('Loan Amortization Table'!D47:D49)</f>
        <v>1080.9423360448282</v>
      </c>
      <c r="G112" s="6">
        <f>'Profit and Loss Statement'!G26</f>
        <v>4480.9219098870853</v>
      </c>
    </row>
    <row r="113" spans="2:15">
      <c r="B113" s="29" t="s">
        <v>54</v>
      </c>
      <c r="C113" s="6">
        <f>$G$113/4</f>
        <v>801.25</v>
      </c>
      <c r="D113" s="6">
        <f>$G$113/4</f>
        <v>801.25</v>
      </c>
      <c r="E113" s="6">
        <f>$G$113/4</f>
        <v>801.25</v>
      </c>
      <c r="F113" s="6">
        <f>$G$113/4</f>
        <v>801.25</v>
      </c>
      <c r="G113" s="6">
        <f>'Profit and Loss Statement'!G27</f>
        <v>3205</v>
      </c>
    </row>
    <row r="114" spans="2:15">
      <c r="B114" s="38" t="s">
        <v>17</v>
      </c>
      <c r="C114" s="39">
        <f>C109-SUM(C110:C113)</f>
        <v>33861.429458125327</v>
      </c>
      <c r="D114" s="39">
        <f t="shared" ref="D114:F114" si="80">D109-SUM(D110:D113)</f>
        <v>33886.846769022697</v>
      </c>
      <c r="E114" s="39">
        <f t="shared" si="80"/>
        <v>33912.840269309396</v>
      </c>
      <c r="F114" s="39">
        <f t="shared" si="80"/>
        <v>33939.423020721733</v>
      </c>
      <c r="G114" s="39">
        <f>'Profit and Loss Statement'!G28</f>
        <v>135600.53951717913</v>
      </c>
    </row>
    <row r="117" spans="2:15">
      <c r="B117" s="112"/>
      <c r="K117" s="112"/>
    </row>
    <row r="118" spans="2:15">
      <c r="C118" s="120"/>
      <c r="D118" s="120"/>
      <c r="E118" s="120"/>
      <c r="F118" s="120"/>
      <c r="G118" s="120"/>
      <c r="L118" s="120"/>
      <c r="M118" s="120"/>
      <c r="N118" s="120"/>
      <c r="O118" s="120"/>
    </row>
    <row r="119" spans="2:15">
      <c r="B119" s="124"/>
      <c r="C119" s="1"/>
      <c r="D119" s="1"/>
      <c r="E119" s="1"/>
      <c r="F119" s="1"/>
      <c r="G119" s="1"/>
      <c r="L119" s="126"/>
      <c r="M119" s="126"/>
      <c r="N119" s="126"/>
      <c r="O119" s="126"/>
    </row>
    <row r="120" spans="2:15">
      <c r="C120" s="1"/>
      <c r="D120" s="1"/>
      <c r="E120" s="1"/>
      <c r="F120" s="1"/>
      <c r="G120" s="1"/>
    </row>
    <row r="121" spans="2:15">
      <c r="C121" s="125"/>
      <c r="D121" s="125"/>
      <c r="E121" s="125"/>
      <c r="F121" s="125"/>
      <c r="G121" s="125"/>
    </row>
    <row r="123" spans="2:15">
      <c r="B123" s="124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4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4"/>
      <c r="C136" s="123"/>
      <c r="D136" s="123"/>
      <c r="E136" s="123"/>
      <c r="F136" s="123"/>
      <c r="G136" s="123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4"/>
      <c r="C141" s="123"/>
      <c r="D141" s="123"/>
      <c r="E141" s="123"/>
      <c r="F141" s="123"/>
      <c r="G141" s="123"/>
    </row>
    <row r="144" spans="2:11">
      <c r="B144" s="112"/>
      <c r="K144" s="112"/>
    </row>
    <row r="145" spans="2:15">
      <c r="C145" s="120"/>
      <c r="D145" s="120"/>
      <c r="E145" s="120"/>
      <c r="F145" s="120"/>
      <c r="G145" s="120"/>
      <c r="L145" s="120"/>
      <c r="M145" s="120"/>
      <c r="N145" s="120"/>
      <c r="O145" s="120"/>
    </row>
    <row r="146" spans="2:15">
      <c r="B146" s="124"/>
      <c r="C146" s="1"/>
      <c r="D146" s="1"/>
      <c r="E146" s="1"/>
      <c r="F146" s="1"/>
      <c r="G146" s="1"/>
      <c r="L146" s="126"/>
      <c r="M146" s="126"/>
      <c r="N146" s="126"/>
      <c r="O146" s="126"/>
    </row>
    <row r="147" spans="2:15">
      <c r="C147" s="1"/>
      <c r="D147" s="1"/>
      <c r="E147" s="1"/>
      <c r="F147" s="1"/>
      <c r="G147" s="1"/>
    </row>
    <row r="148" spans="2:15">
      <c r="C148" s="125"/>
      <c r="D148" s="125"/>
      <c r="E148" s="125"/>
      <c r="F148" s="125"/>
      <c r="G148" s="125"/>
    </row>
    <row r="150" spans="2:15">
      <c r="B150" s="124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4"/>
      <c r="C161" s="1"/>
      <c r="D161" s="1"/>
      <c r="E161" s="1"/>
      <c r="F161" s="1"/>
      <c r="G161" s="1"/>
    </row>
    <row r="163" spans="2:7">
      <c r="B163" s="124"/>
      <c r="C163" s="123"/>
      <c r="D163" s="123"/>
      <c r="E163" s="123"/>
      <c r="F163" s="123"/>
      <c r="G163" s="123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4"/>
      <c r="C168" s="123"/>
      <c r="D168" s="123"/>
      <c r="E168" s="123"/>
      <c r="F168" s="123"/>
      <c r="G168" s="123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topLeftCell="B1" workbookViewId="0">
      <selection activeCell="O27" sqref="O27"/>
    </sheetView>
  </sheetViews>
  <sheetFormatPr defaultRowHeight="15"/>
  <cols>
    <col min="3" max="3" width="27.5703125" customWidth="1"/>
    <col min="4" max="6" width="11.140625" bestFit="1" customWidth="1"/>
    <col min="7" max="7" width="10.85546875" bestFit="1" customWidth="1"/>
    <col min="8" max="8" width="11.140625" bestFit="1" customWidth="1"/>
    <col min="9" max="9" width="11.85546875" customWidth="1"/>
    <col min="10" max="10" width="10.1406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7762.8488973284211</v>
      </c>
      <c r="E6" s="13">
        <f>'Expanded Profit and Loss'!D28+'Expanded Profit and Loss'!D27</f>
        <v>7784.2418956350948</v>
      </c>
      <c r="F6" s="13">
        <f>'Expanded Profit and Loss'!E28+'Expanded Profit and Loss'!E27</f>
        <v>7805.6523345154083</v>
      </c>
      <c r="G6" s="13">
        <f>'Expanded Profit and Loss'!F28+'Expanded Profit and Loss'!F27</f>
        <v>7827.0803447736726</v>
      </c>
      <c r="H6" s="13">
        <f>'Expanded Profit and Loss'!G28+'Expanded Profit and Loss'!G27</f>
        <v>7848.526058195207</v>
      </c>
      <c r="I6" s="13">
        <f>'Expanded Profit and Loss'!H28+'Expanded Profit and Loss'!H27</f>
        <v>7869.9896075537445</v>
      </c>
      <c r="J6" s="13">
        <f>'Expanded Profit and Loss'!I28+'Expanded Profit and Loss'!I27</f>
        <v>7891.4711266188106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10000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60000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833.33333333333337</v>
      </c>
      <c r="E11" s="13">
        <f t="shared" ref="E11:J11" si="1">$I$36/12</f>
        <v>833.33333333333337</v>
      </c>
      <c r="F11" s="13">
        <f t="shared" si="1"/>
        <v>833.33333333333337</v>
      </c>
      <c r="G11" s="13">
        <f t="shared" si="1"/>
        <v>833.33333333333337</v>
      </c>
      <c r="H11" s="13">
        <f t="shared" si="1"/>
        <v>833.33333333333337</v>
      </c>
      <c r="I11" s="13">
        <f t="shared" si="1"/>
        <v>833.33333333333337</v>
      </c>
      <c r="J11" s="13">
        <f t="shared" si="1"/>
        <v>833.33333333333337</v>
      </c>
    </row>
    <row r="12" spans="3:10">
      <c r="C12" s="37" t="s">
        <v>23</v>
      </c>
      <c r="D12" s="26">
        <f>SUM(D9:D11)</f>
        <v>70833.333333333328</v>
      </c>
      <c r="E12" s="26">
        <f t="shared" ref="E12:J12" si="2">SUM(E9:E11)</f>
        <v>833.33333333333337</v>
      </c>
      <c r="F12" s="26">
        <f t="shared" si="2"/>
        <v>833.33333333333337</v>
      </c>
      <c r="G12" s="26">
        <f t="shared" si="2"/>
        <v>833.33333333333337</v>
      </c>
      <c r="H12" s="26">
        <f t="shared" si="2"/>
        <v>833.33333333333337</v>
      </c>
      <c r="I12" s="26">
        <f t="shared" si="2"/>
        <v>833.33333333333337</v>
      </c>
      <c r="J12" s="26">
        <f t="shared" si="2"/>
        <v>833.33333333333337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78596.182230661754</v>
      </c>
      <c r="E15" s="27">
        <f t="shared" ref="E15:J15" si="3">E6+E12</f>
        <v>8617.5752289684278</v>
      </c>
      <c r="F15" s="27">
        <f t="shared" si="3"/>
        <v>8638.9856678487413</v>
      </c>
      <c r="G15" s="27">
        <f t="shared" si="3"/>
        <v>8660.4136781070065</v>
      </c>
      <c r="H15" s="27">
        <f t="shared" si="3"/>
        <v>8681.8593915285401</v>
      </c>
      <c r="I15" s="27">
        <f t="shared" si="3"/>
        <v>8703.3229408870775</v>
      </c>
      <c r="J15" s="27">
        <f t="shared" si="3"/>
        <v>8724.8044599521436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310.05464250149691</v>
      </c>
      <c r="E18" s="6">
        <f>'Loan Amortization Table'!C15</f>
        <v>312.38005232025819</v>
      </c>
      <c r="F18" s="6">
        <f>'Loan Amortization Table'!C16</f>
        <v>314.72290271266013</v>
      </c>
      <c r="G18" s="6">
        <f>'Loan Amortization Table'!C17</f>
        <v>317.08332448300507</v>
      </c>
      <c r="H18" s="6">
        <f>'Loan Amortization Table'!C18</f>
        <v>319.4614494166276</v>
      </c>
      <c r="I18" s="6">
        <f>'Loan Amortization Table'!C19</f>
        <v>321.85741028725232</v>
      </c>
      <c r="J18" s="6">
        <f>'Loan Amortization Table'!C20</f>
        <v>324.27134086440674</v>
      </c>
    </row>
    <row r="19" spans="3:10">
      <c r="C19" s="12" t="s">
        <v>25</v>
      </c>
      <c r="D19" s="13">
        <f>$I$44/12</f>
        <v>583.33333333333337</v>
      </c>
      <c r="E19" s="13">
        <f t="shared" ref="E19:J19" si="4">$I$44/12</f>
        <v>583.33333333333337</v>
      </c>
      <c r="F19" s="13">
        <f t="shared" si="4"/>
        <v>583.33333333333337</v>
      </c>
      <c r="G19" s="13">
        <f t="shared" si="4"/>
        <v>583.33333333333337</v>
      </c>
      <c r="H19" s="13">
        <f t="shared" si="4"/>
        <v>583.33333333333337</v>
      </c>
      <c r="I19" s="13">
        <f t="shared" si="4"/>
        <v>583.33333333333337</v>
      </c>
      <c r="J19" s="13">
        <f t="shared" si="4"/>
        <v>583.33333333333337</v>
      </c>
    </row>
    <row r="20" spans="3:10">
      <c r="C20" s="31" t="s">
        <v>33</v>
      </c>
      <c r="D20" s="6">
        <f>I45</f>
        <v>40000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40893.387975834834</v>
      </c>
      <c r="E22" s="26">
        <f t="shared" ref="E22:J22" si="5">SUM(E18:E21)</f>
        <v>895.71338565359156</v>
      </c>
      <c r="F22" s="26">
        <f t="shared" si="5"/>
        <v>898.0562360459935</v>
      </c>
      <c r="G22" s="26">
        <f t="shared" si="5"/>
        <v>900.41665781633844</v>
      </c>
      <c r="H22" s="26">
        <f t="shared" si="5"/>
        <v>902.79478274996097</v>
      </c>
      <c r="I22" s="26">
        <f t="shared" si="5"/>
        <v>905.19074362058564</v>
      </c>
      <c r="J22" s="26">
        <f t="shared" si="5"/>
        <v>907.60467419774011</v>
      </c>
    </row>
    <row r="23" spans="3:10">
      <c r="C23" s="30"/>
    </row>
    <row r="24" spans="3:10">
      <c r="C24" s="42" t="s">
        <v>27</v>
      </c>
      <c r="D24" s="25">
        <f>D15-D22</f>
        <v>37702.79425482692</v>
      </c>
      <c r="E24" s="25">
        <f t="shared" ref="E24:J24" si="6">E15-E22</f>
        <v>7721.8618433148367</v>
      </c>
      <c r="F24" s="25">
        <f t="shared" si="6"/>
        <v>7740.9294318027478</v>
      </c>
      <c r="G24" s="25">
        <f t="shared" si="6"/>
        <v>7759.9970202906679</v>
      </c>
      <c r="H24" s="25">
        <f t="shared" si="6"/>
        <v>7779.064608778579</v>
      </c>
      <c r="I24" s="25">
        <f t="shared" si="6"/>
        <v>7798.1321972664919</v>
      </c>
      <c r="J24" s="25">
        <f t="shared" si="6"/>
        <v>7817.1997857544038</v>
      </c>
    </row>
    <row r="25" spans="3:10">
      <c r="C25" s="42" t="s">
        <v>6</v>
      </c>
      <c r="D25" s="25">
        <f>D24</f>
        <v>37702.79425482692</v>
      </c>
      <c r="E25" s="25">
        <f>D25+E24</f>
        <v>45424.656098141757</v>
      </c>
      <c r="F25" s="25">
        <f t="shared" ref="F25:J25" si="7">E25+F24</f>
        <v>53165.585529944503</v>
      </c>
      <c r="G25" s="25">
        <f t="shared" si="7"/>
        <v>60925.582550235173</v>
      </c>
      <c r="H25" s="25">
        <f t="shared" si="7"/>
        <v>68704.647159013752</v>
      </c>
      <c r="I25" s="25">
        <f t="shared" si="7"/>
        <v>76502.77935628024</v>
      </c>
      <c r="J25" s="25">
        <f t="shared" si="7"/>
        <v>84319.979142034645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7912.9707501632065</v>
      </c>
      <c r="E31" s="13">
        <f>'Expanded Profit and Loss'!D56+'Expanded Profit and Loss'!D55</f>
        <v>7934.4886139705322</v>
      </c>
      <c r="F31" s="13">
        <f>'Expanded Profit and Loss'!E56+'Expanded Profit and Loss'!E55</f>
        <v>7956.0248548427462</v>
      </c>
      <c r="G31" s="13">
        <f>'Expanded Profit and Loss'!F56+'Expanded Profit and Loss'!F55</f>
        <v>7977.5796106078433</v>
      </c>
      <c r="H31" s="13">
        <f>'Expanded Profit and Loss'!G56+'Expanded Profit and Loss'!G55</f>
        <v>7999.1530201275191</v>
      </c>
      <c r="I31" s="13">
        <f>'Cash Flow Analysis'!E6</f>
        <v>94570.027114332188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10000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60000</v>
      </c>
      <c r="J35" s="30"/>
    </row>
    <row r="36" spans="3:10">
      <c r="C36" s="12" t="s">
        <v>22</v>
      </c>
      <c r="D36" s="13">
        <f>$I$36/12</f>
        <v>833.33333333333337</v>
      </c>
      <c r="E36" s="13">
        <f t="shared" ref="E36:H36" si="11">$I$36/12</f>
        <v>833.33333333333337</v>
      </c>
      <c r="F36" s="13">
        <f t="shared" si="11"/>
        <v>833.33333333333337</v>
      </c>
      <c r="G36" s="13">
        <f t="shared" si="11"/>
        <v>833.33333333333337</v>
      </c>
      <c r="H36" s="13">
        <f t="shared" si="11"/>
        <v>833.33333333333337</v>
      </c>
      <c r="I36" s="20">
        <f>'Cash Flow Analysis'!E11</f>
        <v>10000</v>
      </c>
      <c r="J36" s="30"/>
    </row>
    <row r="37" spans="3:10">
      <c r="C37" s="37" t="s">
        <v>23</v>
      </c>
      <c r="D37" s="26">
        <f>SUM(D34:D36)</f>
        <v>833.33333333333337</v>
      </c>
      <c r="E37" s="26">
        <f t="shared" ref="E37:H37" si="12">SUM(E34:E36)</f>
        <v>833.33333333333337</v>
      </c>
      <c r="F37" s="26">
        <f t="shared" si="12"/>
        <v>833.33333333333337</v>
      </c>
      <c r="G37" s="26">
        <f t="shared" si="12"/>
        <v>833.33333333333337</v>
      </c>
      <c r="H37" s="26">
        <f t="shared" si="12"/>
        <v>833.33333333333337</v>
      </c>
      <c r="I37" s="44">
        <f>'Cash Flow Analysis'!E12</f>
        <v>80000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8746.3040834965395</v>
      </c>
      <c r="E40" s="27">
        <f t="shared" ref="E40:H40" si="13">E31+E37</f>
        <v>8767.8219473038662</v>
      </c>
      <c r="F40" s="27">
        <f t="shared" si="13"/>
        <v>8789.3581881760801</v>
      </c>
      <c r="G40" s="27">
        <f t="shared" si="13"/>
        <v>8810.9129439411772</v>
      </c>
      <c r="H40" s="27">
        <f t="shared" si="13"/>
        <v>8832.4863534608521</v>
      </c>
      <c r="I40" s="36">
        <f>'Cash Flow Analysis'!E15</f>
        <v>174570.02711433219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326.70337592088975</v>
      </c>
      <c r="E43" s="6">
        <f>'Loan Amortization Table'!C22</f>
        <v>329.15365124029643</v>
      </c>
      <c r="F43" s="6">
        <f>'Loan Amortization Table'!C23</f>
        <v>331.6223036245986</v>
      </c>
      <c r="G43" s="6">
        <f>'Loan Amortization Table'!C24</f>
        <v>334.10947090178314</v>
      </c>
      <c r="H43" s="6">
        <f>'Loan Amortization Table'!C25</f>
        <v>336.61529193354653</v>
      </c>
      <c r="I43" s="6">
        <f>'Cash Flow Analysis'!E18</f>
        <v>3878.0352162068211</v>
      </c>
      <c r="J43" s="30"/>
    </row>
    <row r="44" spans="3:10">
      <c r="C44" s="12" t="s">
        <v>25</v>
      </c>
      <c r="D44" s="13">
        <f>$I$44/12</f>
        <v>583.33333333333337</v>
      </c>
      <c r="E44" s="13">
        <f t="shared" ref="E44:H44" si="14">$I$44/12</f>
        <v>583.33333333333337</v>
      </c>
      <c r="F44" s="13">
        <f t="shared" si="14"/>
        <v>583.33333333333337</v>
      </c>
      <c r="G44" s="13">
        <f t="shared" si="14"/>
        <v>583.33333333333337</v>
      </c>
      <c r="H44" s="13">
        <f t="shared" si="14"/>
        <v>583.33333333333337</v>
      </c>
      <c r="I44" s="13">
        <f>'Cash Flow Analysis'!E19</f>
        <v>7000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40000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66199.018980032532</v>
      </c>
      <c r="I46" s="13">
        <f>'Cash Flow Analysis'!E21</f>
        <v>66199.018980032532</v>
      </c>
      <c r="J46" s="30"/>
    </row>
    <row r="47" spans="3:10">
      <c r="C47" s="37" t="s">
        <v>26</v>
      </c>
      <c r="D47" s="26">
        <f>SUM(D43:D46)</f>
        <v>910.03670925422307</v>
      </c>
      <c r="E47" s="26">
        <f t="shared" ref="E47:H47" si="15">SUM(E43:E46)</f>
        <v>912.4869845736298</v>
      </c>
      <c r="F47" s="26">
        <f t="shared" si="15"/>
        <v>914.95563695793203</v>
      </c>
      <c r="G47" s="26">
        <f t="shared" si="15"/>
        <v>917.44280423511645</v>
      </c>
      <c r="H47" s="26">
        <f t="shared" si="15"/>
        <v>67118.967605299418</v>
      </c>
      <c r="I47" s="26">
        <f>'Cash Flow Analysis'!E22</f>
        <v>117077.05419623936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7836.2673742423167</v>
      </c>
      <c r="E49" s="25">
        <f t="shared" ref="E49:H49" si="16">E40-E47</f>
        <v>7855.3349627302359</v>
      </c>
      <c r="F49" s="25">
        <f t="shared" si="16"/>
        <v>7874.4025512181479</v>
      </c>
      <c r="G49" s="25">
        <f t="shared" si="16"/>
        <v>7893.4701397060608</v>
      </c>
      <c r="H49" s="25">
        <f t="shared" si="16"/>
        <v>-58286.481251838566</v>
      </c>
      <c r="I49" s="45">
        <f>'Cash Flow Analysis'!E24</f>
        <v>57492.972918092826</v>
      </c>
      <c r="J49" s="30"/>
    </row>
    <row r="50" spans="3:10">
      <c r="C50" s="42" t="s">
        <v>6</v>
      </c>
      <c r="D50" s="25">
        <f>J25+D49</f>
        <v>92156.246516276966</v>
      </c>
      <c r="E50" s="25">
        <f>D50+E49</f>
        <v>100011.5814790072</v>
      </c>
      <c r="F50" s="25">
        <f t="shared" ref="F50:H50" si="17">E50+F49</f>
        <v>107885.98403022536</v>
      </c>
      <c r="G50" s="25">
        <f t="shared" si="17"/>
        <v>115779.45416993141</v>
      </c>
      <c r="H50" s="25">
        <f t="shared" si="17"/>
        <v>57492.972918092848</v>
      </c>
      <c r="I50" s="45">
        <f>'Cash Flow Analysis'!E25</f>
        <v>57492.972918092826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28867.280908967419</v>
      </c>
      <c r="E58" s="48">
        <f>'Expanded Profit and Loss'!D84+'Expanded Profit and Loss'!D83</f>
        <v>28890.518384386061</v>
      </c>
      <c r="F58" s="48">
        <f>'Expanded Profit and Loss'!E84+'Expanded Profit and Loss'!E83</f>
        <v>28914.282634128907</v>
      </c>
      <c r="G58" s="48">
        <f>'Expanded Profit and Loss'!F84+'Expanded Profit and Loss'!F83</f>
        <v>28938.585599733655</v>
      </c>
      <c r="H58" s="46">
        <f>'Cash Flow Analysis'!F6</f>
        <v>115610.66752721605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2550</v>
      </c>
      <c r="E63" s="49">
        <f>$H$63/4</f>
        <v>2550</v>
      </c>
      <c r="F63" s="49">
        <f>$H$63/4</f>
        <v>2550</v>
      </c>
      <c r="G63" s="49">
        <f>$H$63/4</f>
        <v>2550</v>
      </c>
      <c r="H63" s="13">
        <f>'Cash Flow Analysis'!F11</f>
        <v>10200</v>
      </c>
    </row>
    <row r="64" spans="3:10">
      <c r="C64" s="37" t="s">
        <v>23</v>
      </c>
      <c r="D64" s="51">
        <f>SUM(D61:D63)</f>
        <v>2550</v>
      </c>
      <c r="E64" s="51">
        <f t="shared" ref="E64:G64" si="18">SUM(E61:E63)</f>
        <v>2550</v>
      </c>
      <c r="F64" s="51">
        <f t="shared" si="18"/>
        <v>2550</v>
      </c>
      <c r="G64" s="51">
        <f t="shared" si="18"/>
        <v>2550</v>
      </c>
      <c r="H64" s="32">
        <f>'Cash Flow Analysis'!F12</f>
        <v>10200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31417.280908967419</v>
      </c>
      <c r="E67" s="48">
        <f t="shared" ref="E67:G67" si="19">E58+E64</f>
        <v>31440.518384386061</v>
      </c>
      <c r="F67" s="48">
        <f t="shared" si="19"/>
        <v>31464.282634128907</v>
      </c>
      <c r="G67" s="48">
        <f t="shared" si="19"/>
        <v>31488.585599733655</v>
      </c>
      <c r="H67" s="27">
        <f>'Cash Flow Analysis'!F15</f>
        <v>125810.66752721605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1025.0694443879106</v>
      </c>
      <c r="E70" s="50">
        <f>SUM('Loan Amortization Table'!C29:C31)</f>
        <v>1048.3069198065509</v>
      </c>
      <c r="F70" s="50">
        <f>SUM('Loan Amortization Table'!C32:C34)</f>
        <v>1072.0711695493974</v>
      </c>
      <c r="G70" s="50">
        <f>SUM('Loan Amortization Table'!C35:C37)</f>
        <v>1096.3741351541448</v>
      </c>
      <c r="H70" s="32">
        <f>'Cash Flow Analysis'!F18</f>
        <v>4241.8216688980037</v>
      </c>
    </row>
    <row r="71" spans="3:8">
      <c r="C71" s="12" t="s">
        <v>25</v>
      </c>
      <c r="D71" s="49">
        <f>$H$71/4</f>
        <v>1785</v>
      </c>
      <c r="E71" s="49">
        <f>$H$71/4</f>
        <v>1785</v>
      </c>
      <c r="F71" s="49">
        <f>$H$71/4</f>
        <v>1785</v>
      </c>
      <c r="G71" s="49">
        <f>$H$71/4</f>
        <v>1785</v>
      </c>
      <c r="H71" s="13">
        <f>'Cash Flow Analysis'!F19</f>
        <v>7140</v>
      </c>
    </row>
    <row r="72" spans="3:8">
      <c r="C72" s="31" t="s">
        <v>33</v>
      </c>
      <c r="D72" s="50">
        <f>H72</f>
        <v>5780.5333763608032</v>
      </c>
      <c r="E72" s="50">
        <v>0</v>
      </c>
      <c r="F72" s="50">
        <v>0</v>
      </c>
      <c r="G72" s="50">
        <v>0</v>
      </c>
      <c r="H72" s="32">
        <f>'Cash Flow Analysis'!F20</f>
        <v>5780.5333763608032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80927.467269051223</v>
      </c>
      <c r="H73" s="13">
        <f>'Cash Flow Analysis'!F21</f>
        <v>80927.467269051223</v>
      </c>
    </row>
    <row r="74" spans="3:8">
      <c r="C74" s="37" t="s">
        <v>26</v>
      </c>
      <c r="D74" s="51">
        <f>SUM(D70:D73)</f>
        <v>8590.6028207487143</v>
      </c>
      <c r="E74" s="51">
        <f t="shared" ref="E74:G74" si="20">SUM(E70:E73)</f>
        <v>2833.3069198065509</v>
      </c>
      <c r="F74" s="51">
        <f t="shared" si="20"/>
        <v>2857.0711695493974</v>
      </c>
      <c r="G74" s="51">
        <f t="shared" si="20"/>
        <v>83808.841404205363</v>
      </c>
      <c r="H74" s="34">
        <f>'Cash Flow Analysis'!F22</f>
        <v>98089.822314310033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22826.678088218705</v>
      </c>
      <c r="E76" s="52">
        <f t="shared" ref="E76:G76" si="21">E67-E74</f>
        <v>28607.211464579512</v>
      </c>
      <c r="F76" s="52">
        <f t="shared" si="21"/>
        <v>28607.211464579508</v>
      </c>
      <c r="G76" s="52">
        <f t="shared" si="21"/>
        <v>-52320.255804471708</v>
      </c>
      <c r="H76" s="40">
        <f>'Cash Flow Analysis'!F24</f>
        <v>27720.845212906017</v>
      </c>
    </row>
    <row r="77" spans="3:8">
      <c r="C77" s="42" t="s">
        <v>6</v>
      </c>
      <c r="D77" s="52">
        <f>I50+D76</f>
        <v>80319.651006311527</v>
      </c>
      <c r="E77" s="52">
        <f>D77+E76</f>
        <v>108926.86247089104</v>
      </c>
      <c r="F77" s="52">
        <f t="shared" ref="F77:G77" si="22">E77+F76</f>
        <v>137534.07393547054</v>
      </c>
      <c r="G77" s="52">
        <f t="shared" si="22"/>
        <v>85213.818130998843</v>
      </c>
      <c r="H77" s="40">
        <f>'Cash Flow Analysis'!F25</f>
        <v>85213.818130998843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34662.679458125327</v>
      </c>
      <c r="E84" s="48">
        <f>'Expanded Profit and Loss'!D114+'Expanded Profit and Loss'!D113</f>
        <v>34688.096769022697</v>
      </c>
      <c r="F84" s="48">
        <f>'Expanded Profit and Loss'!E114+'Expanded Profit and Loss'!E113</f>
        <v>34714.090269309396</v>
      </c>
      <c r="G84" s="48">
        <f>'Expanded Profit and Loss'!F114+'Expanded Profit and Loss'!F113</f>
        <v>34740.673020721733</v>
      </c>
      <c r="H84" s="27">
        <f>'Cash Flow Analysis'!G6</f>
        <v>138805.53951717913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2601</v>
      </c>
      <c r="E89" s="49">
        <f>$H$89/4</f>
        <v>2601</v>
      </c>
      <c r="F89" s="49">
        <f>$H$89/4</f>
        <v>2601</v>
      </c>
      <c r="G89" s="49">
        <f>$H$89/4</f>
        <v>2601</v>
      </c>
      <c r="H89" s="13">
        <f>'Cash Flow Analysis'!G12</f>
        <v>10404</v>
      </c>
    </row>
    <row r="90" spans="3:8">
      <c r="C90" s="37" t="s">
        <v>23</v>
      </c>
      <c r="D90" s="51">
        <f>SUM(D87:D89)</f>
        <v>2601</v>
      </c>
      <c r="E90" s="51">
        <f t="shared" ref="E90:G90" si="23">SUM(E87:E89)</f>
        <v>2601</v>
      </c>
      <c r="F90" s="51">
        <f t="shared" si="23"/>
        <v>2601</v>
      </c>
      <c r="G90" s="51">
        <f t="shared" si="23"/>
        <v>2601</v>
      </c>
      <c r="H90" s="34">
        <f>'Cash Flow Analysis'!G12</f>
        <v>10404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37263.679458125327</v>
      </c>
      <c r="E93" s="48">
        <f t="shared" ref="E93:G93" si="24">E90+E84</f>
        <v>37289.096769022697</v>
      </c>
      <c r="F93" s="48">
        <f t="shared" si="24"/>
        <v>37315.090269309396</v>
      </c>
      <c r="G93" s="48">
        <f t="shared" si="24"/>
        <v>37341.673020721733</v>
      </c>
      <c r="H93" s="27">
        <f>'Cash Flow Analysis'!G15</f>
        <v>149209.53951717913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1121.2280288632587</v>
      </c>
      <c r="E96" s="50">
        <f>SUM('Loan Amortization Table'!C41:C43)</f>
        <v>1146.6453397606274</v>
      </c>
      <c r="F96" s="50">
        <f>SUM('Loan Amortization Table'!C44:C46)</f>
        <v>1172.6388400473288</v>
      </c>
      <c r="G96" s="50">
        <f>SUM('Loan Amortization Table'!C47:C49)</f>
        <v>1199.2215914596625</v>
      </c>
      <c r="H96" s="32">
        <f>'Cash Flow Analysis'!G18</f>
        <v>4639.7338001308781</v>
      </c>
    </row>
    <row r="97" spans="3:8">
      <c r="C97" s="12" t="s">
        <v>25</v>
      </c>
      <c r="D97" s="49">
        <f>$H$97/4</f>
        <v>1820.6999999999998</v>
      </c>
      <c r="E97" s="49">
        <f t="shared" ref="E97:G97" si="25">$H$97/4</f>
        <v>1820.6999999999998</v>
      </c>
      <c r="F97" s="49">
        <f t="shared" si="25"/>
        <v>1820.6999999999998</v>
      </c>
      <c r="G97" s="49">
        <f t="shared" si="25"/>
        <v>1820.6999999999998</v>
      </c>
      <c r="H97" s="13">
        <f>'Cash Flow Analysis'!G19</f>
        <v>7282.7999999999993</v>
      </c>
    </row>
    <row r="98" spans="3:8">
      <c r="C98" s="31" t="s">
        <v>33</v>
      </c>
      <c r="D98" s="50">
        <f>H98</f>
        <v>6940.2769758589566</v>
      </c>
      <c r="E98" s="50">
        <v>0</v>
      </c>
      <c r="F98" s="50">
        <v>0</v>
      </c>
      <c r="G98" s="50">
        <v>0</v>
      </c>
      <c r="H98" s="32">
        <f>'Cash Flow Analysis'!G20</f>
        <v>6940.2769758589566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97163.877662025392</v>
      </c>
      <c r="H99" s="13">
        <f>'Cash Flow Analysis'!G21</f>
        <v>97163.877662025392</v>
      </c>
    </row>
    <row r="100" spans="3:8">
      <c r="C100" s="37" t="s">
        <v>26</v>
      </c>
      <c r="D100" s="51">
        <f>SUM(D96:D99)</f>
        <v>9882.2050047222147</v>
      </c>
      <c r="E100" s="51">
        <f t="shared" ref="E100:G100" si="26">SUM(E96:E99)</f>
        <v>2967.3453397606272</v>
      </c>
      <c r="F100" s="51">
        <f t="shared" si="26"/>
        <v>2993.3388400473286</v>
      </c>
      <c r="G100" s="51">
        <f t="shared" si="26"/>
        <v>100183.79925348505</v>
      </c>
      <c r="H100" s="34">
        <f>'Cash Flow Analysis'!G22</f>
        <v>116026.68843801523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27381.474453403112</v>
      </c>
      <c r="E102" s="52">
        <f t="shared" ref="E102:G102" si="27">E93-E100</f>
        <v>34321.751429262069</v>
      </c>
      <c r="F102" s="52">
        <f t="shared" si="27"/>
        <v>34321.751429262069</v>
      </c>
      <c r="G102" s="52">
        <f t="shared" si="27"/>
        <v>-62842.126232763316</v>
      </c>
      <c r="H102" s="40">
        <f>'Cash Flow Analysis'!G24</f>
        <v>33182.851079163898</v>
      </c>
    </row>
    <row r="103" spans="3:8">
      <c r="C103" s="42" t="s">
        <v>6</v>
      </c>
      <c r="D103" s="52">
        <f>G77+D102</f>
        <v>112595.29258440196</v>
      </c>
      <c r="E103" s="52">
        <f>D103+E102</f>
        <v>146917.04401366404</v>
      </c>
      <c r="F103" s="52">
        <f t="shared" ref="F103:G103" si="28">E103+F102</f>
        <v>181238.79544292612</v>
      </c>
      <c r="G103" s="52">
        <f t="shared" si="28"/>
        <v>118396.6692101628</v>
      </c>
      <c r="H103" s="40">
        <f>'Cash Flow Analysis'!G25</f>
        <v>118396.66921016274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20"/>
      <c r="E107" s="120"/>
      <c r="F107" s="120"/>
      <c r="G107" s="120"/>
      <c r="H107" s="120"/>
    </row>
    <row r="108" spans="3:8">
      <c r="C108" s="124"/>
      <c r="D108" s="123"/>
      <c r="E108" s="123"/>
      <c r="F108" s="123"/>
      <c r="G108" s="123"/>
      <c r="H108" s="123"/>
    </row>
    <row r="110" spans="3:8">
      <c r="C110" s="124"/>
      <c r="D110" s="124"/>
      <c r="E110" s="124"/>
      <c r="F110" s="124"/>
      <c r="G110" s="124"/>
      <c r="H110" s="124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4"/>
      <c r="D114" s="123"/>
      <c r="E114" s="123"/>
      <c r="F114" s="123"/>
      <c r="G114" s="123"/>
      <c r="H114" s="123"/>
    </row>
    <row r="117" spans="3:10">
      <c r="C117" s="124"/>
      <c r="D117" s="123"/>
      <c r="E117" s="123"/>
      <c r="F117" s="123"/>
      <c r="G117" s="123"/>
      <c r="H117" s="123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4"/>
      <c r="D124" s="123"/>
      <c r="E124" s="123"/>
      <c r="F124" s="123"/>
      <c r="G124" s="123"/>
      <c r="H124" s="123"/>
    </row>
    <row r="126" spans="3:10">
      <c r="C126" s="124"/>
      <c r="D126" s="123"/>
      <c r="E126" s="123"/>
      <c r="F126" s="123"/>
      <c r="G126" s="123"/>
      <c r="H126" s="123"/>
    </row>
    <row r="127" spans="3:10">
      <c r="C127" s="124"/>
      <c r="D127" s="123"/>
      <c r="E127" s="123"/>
      <c r="F127" s="123"/>
      <c r="G127" s="123"/>
      <c r="H127" s="123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20"/>
      <c r="E131" s="120"/>
      <c r="F131" s="120"/>
      <c r="G131" s="120"/>
      <c r="H131" s="120"/>
    </row>
    <row r="132" spans="3:8">
      <c r="C132" s="124"/>
      <c r="D132" s="123"/>
      <c r="E132" s="123"/>
      <c r="F132" s="123"/>
      <c r="G132" s="123"/>
      <c r="H132" s="123"/>
    </row>
    <row r="134" spans="3:8">
      <c r="C134" s="124"/>
      <c r="D134" s="124"/>
      <c r="E134" s="124"/>
      <c r="F134" s="124"/>
      <c r="G134" s="124"/>
      <c r="H134" s="124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4"/>
      <c r="D138" s="123"/>
      <c r="E138" s="123"/>
      <c r="F138" s="123"/>
      <c r="G138" s="123"/>
      <c r="H138" s="123"/>
    </row>
    <row r="141" spans="3:8">
      <c r="C141" s="124"/>
      <c r="D141" s="123"/>
      <c r="E141" s="123"/>
      <c r="F141" s="123"/>
      <c r="G141" s="123"/>
      <c r="H141" s="123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4"/>
      <c r="D148" s="123"/>
      <c r="E148" s="123"/>
      <c r="F148" s="123"/>
      <c r="G148" s="123"/>
      <c r="H148" s="123"/>
    </row>
    <row r="150" spans="3:8">
      <c r="C150" s="124"/>
      <c r="D150" s="123"/>
      <c r="E150" s="123"/>
      <c r="F150" s="123"/>
      <c r="G150" s="123"/>
      <c r="H150" s="123"/>
    </row>
    <row r="151" spans="3:8">
      <c r="C151" s="124"/>
      <c r="D151" s="123"/>
      <c r="E151" s="123"/>
      <c r="F151" s="123"/>
      <c r="G151" s="123"/>
      <c r="H151" s="123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N28" sqref="N28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7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0.1</v>
      </c>
      <c r="H5" s="109">
        <f>Inputs!C47</f>
        <v>0.1</v>
      </c>
      <c r="I5" s="126"/>
      <c r="J5" s="108"/>
      <c r="K5" s="109"/>
      <c r="L5" s="109"/>
      <c r="M5" s="109"/>
    </row>
    <row r="6" spans="5:13">
      <c r="E6" s="94" t="str">
        <f>Inputs!B5</f>
        <v>Yoga Studio Fees</v>
      </c>
      <c r="F6" s="94">
        <f>SUM(Inputs!C32:N32)</f>
        <v>385320</v>
      </c>
      <c r="G6" s="94">
        <f t="shared" ref="G6:H15" si="0">F6*(1+G$5)</f>
        <v>423852.00000000006</v>
      </c>
      <c r="H6" s="94">
        <f t="shared" si="0"/>
        <v>466237.20000000013</v>
      </c>
      <c r="I6" s="128"/>
      <c r="J6" s="94" t="str">
        <f>E6</f>
        <v>Yoga Studio Fees</v>
      </c>
      <c r="K6" s="144">
        <f>F6/$F$16</f>
        <v>0.86956521739130432</v>
      </c>
      <c r="L6" s="144">
        <f>G6/$G$16</f>
        <v>0.86956521739130443</v>
      </c>
      <c r="M6" s="144">
        <f>H6/$H$16</f>
        <v>0.86956521739130432</v>
      </c>
    </row>
    <row r="7" spans="5:13">
      <c r="E7" s="94" t="str">
        <f>Inputs!B6</f>
        <v>Membership Income</v>
      </c>
      <c r="F7" s="94">
        <f>SUM(Inputs!C33:N33)</f>
        <v>57798</v>
      </c>
      <c r="G7" s="94">
        <f t="shared" si="0"/>
        <v>63577.8</v>
      </c>
      <c r="H7" s="94">
        <f t="shared" si="0"/>
        <v>69935.58</v>
      </c>
      <c r="I7" s="128"/>
      <c r="J7" s="94" t="str">
        <f t="shared" ref="J7:J15" si="1">E7</f>
        <v>Membership Income</v>
      </c>
      <c r="K7" s="144">
        <f t="shared" ref="K7:K15" si="2">F7/$F$16</f>
        <v>0.13043478260869565</v>
      </c>
      <c r="L7" s="144">
        <f t="shared" ref="L7:L15" si="3">G7/$G$16</f>
        <v>0.13043478260869565</v>
      </c>
      <c r="M7" s="144">
        <f t="shared" ref="M7:M15" si="4">H7/$H$16</f>
        <v>0.13043478260869562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28"/>
      <c r="J8" s="94" t="str">
        <f t="shared" si="1"/>
        <v>Item 3</v>
      </c>
      <c r="K8" s="144">
        <f t="shared" si="2"/>
        <v>0</v>
      </c>
      <c r="L8" s="144">
        <f t="shared" si="3"/>
        <v>0</v>
      </c>
      <c r="M8" s="144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8"/>
      <c r="J9" s="94" t="str">
        <f t="shared" si="1"/>
        <v>Item 4</v>
      </c>
      <c r="K9" s="144">
        <f t="shared" si="2"/>
        <v>0</v>
      </c>
      <c r="L9" s="144">
        <f t="shared" si="3"/>
        <v>0</v>
      </c>
      <c r="M9" s="144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8"/>
      <c r="J10" s="94" t="str">
        <f t="shared" si="1"/>
        <v>Item 5</v>
      </c>
      <c r="K10" s="144">
        <f t="shared" si="2"/>
        <v>0</v>
      </c>
      <c r="L10" s="144">
        <f t="shared" si="3"/>
        <v>0</v>
      </c>
      <c r="M10" s="144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8"/>
      <c r="J11" s="94" t="str">
        <f t="shared" si="1"/>
        <v>Item 6</v>
      </c>
      <c r="K11" s="144">
        <f t="shared" si="2"/>
        <v>0</v>
      </c>
      <c r="L11" s="144">
        <f t="shared" si="3"/>
        <v>0</v>
      </c>
      <c r="M11" s="144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8"/>
      <c r="J12" s="94" t="str">
        <f t="shared" si="1"/>
        <v>Item 7</v>
      </c>
      <c r="K12" s="144">
        <f t="shared" si="2"/>
        <v>0</v>
      </c>
      <c r="L12" s="144">
        <f t="shared" si="3"/>
        <v>0</v>
      </c>
      <c r="M12" s="144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8"/>
      <c r="J13" s="94" t="str">
        <f t="shared" si="1"/>
        <v>Item 8</v>
      </c>
      <c r="K13" s="144">
        <f t="shared" si="2"/>
        <v>0</v>
      </c>
      <c r="L13" s="144">
        <f t="shared" si="3"/>
        <v>0</v>
      </c>
      <c r="M13" s="144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8"/>
      <c r="J14" s="94" t="str">
        <f t="shared" si="1"/>
        <v>Item 9</v>
      </c>
      <c r="K14" s="144">
        <f t="shared" si="2"/>
        <v>0</v>
      </c>
      <c r="L14" s="144">
        <f t="shared" si="3"/>
        <v>0</v>
      </c>
      <c r="M14" s="144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8"/>
      <c r="J15" s="94" t="str">
        <f t="shared" si="1"/>
        <v>Item 10</v>
      </c>
      <c r="K15" s="144">
        <f t="shared" si="2"/>
        <v>0</v>
      </c>
      <c r="L15" s="144">
        <f t="shared" si="3"/>
        <v>0</v>
      </c>
      <c r="M15" s="144">
        <f t="shared" si="4"/>
        <v>0</v>
      </c>
    </row>
    <row r="16" spans="5:13">
      <c r="E16" s="99" t="s">
        <v>8</v>
      </c>
      <c r="F16" s="99">
        <f>SUM(F6:F15)</f>
        <v>443118</v>
      </c>
      <c r="G16" s="99">
        <f>SUM(G6:G15)</f>
        <v>487429.80000000005</v>
      </c>
      <c r="H16" s="99">
        <f>SUM(H6:H15)</f>
        <v>536172.78000000014</v>
      </c>
      <c r="I16" s="132"/>
      <c r="J16" s="143"/>
      <c r="K16" s="143"/>
      <c r="L16" s="143"/>
      <c r="M16" s="143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42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7"/>
      <c r="J19" s="63"/>
      <c r="K19" s="127"/>
      <c r="L19" s="127"/>
      <c r="M19" s="127"/>
    </row>
    <row r="20" spans="5:13">
      <c r="E20" s="108" t="s">
        <v>55</v>
      </c>
      <c r="F20" s="109">
        <v>0</v>
      </c>
      <c r="G20" s="109">
        <f>G5</f>
        <v>0.1</v>
      </c>
      <c r="H20" s="109">
        <f>H5</f>
        <v>0.1</v>
      </c>
      <c r="I20" s="126"/>
      <c r="K20" s="126"/>
      <c r="L20" s="126"/>
      <c r="M20" s="126"/>
    </row>
    <row r="21" spans="5:13">
      <c r="E21" s="94" t="str">
        <f>E6</f>
        <v>Yoga Studio Fees</v>
      </c>
      <c r="F21" s="94">
        <f>SUM(Inputs!C51:N51)</f>
        <v>19266</v>
      </c>
      <c r="G21" s="94">
        <f t="shared" ref="G21:H30" si="5">F21*(1+G$20)</f>
        <v>21192.600000000002</v>
      </c>
      <c r="H21" s="94">
        <f t="shared" si="5"/>
        <v>23311.860000000004</v>
      </c>
      <c r="I21" s="128"/>
      <c r="J21" s="128"/>
      <c r="K21" s="128"/>
      <c r="L21" s="128"/>
      <c r="M21" s="128"/>
    </row>
    <row r="22" spans="5:13">
      <c r="E22" s="94" t="str">
        <f t="shared" ref="E22:E30" si="6">E7</f>
        <v>Membership Income</v>
      </c>
      <c r="F22" s="94">
        <f>SUM(Inputs!C52:N52)</f>
        <v>17339.400000000001</v>
      </c>
      <c r="G22" s="94">
        <f t="shared" si="5"/>
        <v>19073.340000000004</v>
      </c>
      <c r="H22" s="94">
        <f t="shared" si="5"/>
        <v>20980.674000000006</v>
      </c>
      <c r="I22" s="128"/>
      <c r="J22" s="128"/>
      <c r="K22" s="128"/>
      <c r="L22" s="128"/>
      <c r="M22" s="128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28"/>
      <c r="J23" s="128"/>
      <c r="K23" s="128"/>
      <c r="L23" s="128"/>
      <c r="M23" s="128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8"/>
      <c r="J24" s="128"/>
      <c r="K24" s="128"/>
      <c r="L24" s="128"/>
      <c r="M24" s="128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8"/>
      <c r="J25" s="128"/>
      <c r="K25" s="128"/>
      <c r="L25" s="128"/>
      <c r="M25" s="128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8"/>
      <c r="J26" s="128"/>
      <c r="K26" s="128"/>
      <c r="L26" s="128"/>
      <c r="M26" s="128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8"/>
      <c r="J27" s="128"/>
      <c r="K27" s="128"/>
      <c r="L27" s="128"/>
      <c r="M27" s="128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8"/>
      <c r="J28" s="128"/>
      <c r="K28" s="128"/>
      <c r="L28" s="128"/>
      <c r="M28" s="128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8"/>
      <c r="J29" s="128"/>
      <c r="K29" s="128"/>
      <c r="L29" s="128"/>
      <c r="M29" s="128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8"/>
      <c r="J30" s="128"/>
      <c r="K30" s="128"/>
      <c r="L30" s="128"/>
      <c r="M30" s="128"/>
    </row>
    <row r="31" spans="5:13">
      <c r="E31" s="100" t="s">
        <v>8</v>
      </c>
      <c r="F31" s="100">
        <f>SUM(F21:F30)</f>
        <v>36605.4</v>
      </c>
      <c r="G31" s="100">
        <f>SUM(G21:G30)</f>
        <v>40265.94</v>
      </c>
      <c r="H31" s="100">
        <f>SUM(H21:H30)</f>
        <v>44292.534000000014</v>
      </c>
      <c r="I31" s="128"/>
      <c r="J31" s="128"/>
      <c r="K31" s="128"/>
      <c r="L31" s="128"/>
      <c r="M31" s="128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Revenue Overview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2025-10-04T13:37:22Z</dcterms:modified>
</cp:coreProperties>
</file>