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Trucking\"/>
    </mc:Choice>
  </mc:AlternateContent>
  <xr:revisionPtr revIDLastSave="0" documentId="13_ncr:1_{AC3DA420-3C6C-40B7-BE6C-BF265D4077A3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E7" i="23"/>
  <c r="E53" i="23" s="1"/>
  <c r="E8" i="23"/>
  <c r="E9" i="23"/>
  <c r="E10" i="23"/>
  <c r="E56" i="23" s="1"/>
  <c r="E11" i="23"/>
  <c r="G57" i="23" s="1"/>
  <c r="E12" i="23"/>
  <c r="G58" i="23" s="1"/>
  <c r="E13" i="23"/>
  <c r="K59" i="23" s="1"/>
  <c r="E14" i="23"/>
  <c r="D33" i="23"/>
  <c r="E33" i="23"/>
  <c r="F33" i="23"/>
  <c r="G33" i="23"/>
  <c r="H33" i="23"/>
  <c r="I33" i="23"/>
  <c r="J33" i="23"/>
  <c r="K33" i="23"/>
  <c r="L33" i="23"/>
  <c r="M33" i="23"/>
  <c r="N33" i="23"/>
  <c r="C33" i="23"/>
  <c r="C42" i="23" s="1"/>
  <c r="E20" i="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K58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G59" i="23"/>
  <c r="G60" i="23"/>
  <c r="E6" i="23"/>
  <c r="G54" i="23"/>
  <c r="G55" i="23"/>
  <c r="G56" i="23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58" i="23" l="1"/>
  <c r="F56" i="23"/>
  <c r="J58" i="23"/>
  <c r="E58" i="23"/>
  <c r="K56" i="23"/>
  <c r="K53" i="23"/>
  <c r="E59" i="23"/>
  <c r="J53" i="23"/>
  <c r="D53" i="23"/>
  <c r="G53" i="23"/>
  <c r="G8" i="14"/>
  <c r="H36" i="12"/>
  <c r="H37" i="12" s="1"/>
  <c r="F19" i="3"/>
  <c r="H8" i="14"/>
  <c r="L35" i="7"/>
  <c r="D52" i="23"/>
  <c r="D51" i="23"/>
  <c r="D56" i="23"/>
  <c r="D57" i="23"/>
  <c r="D59" i="23"/>
  <c r="C52" i="23"/>
  <c r="L53" i="23"/>
  <c r="F53" i="23"/>
  <c r="L54" i="23"/>
  <c r="F54" i="23"/>
  <c r="L55" i="23"/>
  <c r="F55" i="23"/>
  <c r="L56" i="23"/>
  <c r="L57" i="23"/>
  <c r="F57" i="23"/>
  <c r="L58" i="23"/>
  <c r="F58" i="23"/>
  <c r="L59" i="23"/>
  <c r="F59" i="23"/>
  <c r="L60" i="23"/>
  <c r="F60" i="23"/>
  <c r="E57" i="23"/>
  <c r="E60" i="23"/>
  <c r="C53" i="23"/>
  <c r="F23" i="9" s="1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6" i="11"/>
  <c r="E51" i="23"/>
  <c r="L33" i="7"/>
  <c r="E23" i="23"/>
  <c r="G19" i="2" s="1"/>
  <c r="E42" i="23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C61" i="23" l="1"/>
  <c r="C7" i="11" s="1"/>
  <c r="E61" i="23"/>
  <c r="E7" i="11" s="1"/>
  <c r="C42" i="11"/>
  <c r="F26" i="9"/>
  <c r="F42" i="11"/>
  <c r="D61" i="23"/>
  <c r="D7" i="11" s="1"/>
  <c r="F28" i="9"/>
  <c r="F25" i="9"/>
  <c r="F29" i="9"/>
  <c r="D42" i="11"/>
  <c r="F30" i="9"/>
  <c r="F27" i="9"/>
  <c r="F24" i="9"/>
  <c r="D42" i="23"/>
  <c r="F52" i="23"/>
  <c r="F51" i="23"/>
  <c r="E6" i="11"/>
  <c r="G47" i="11"/>
  <c r="D19" i="11"/>
  <c r="H19" i="11"/>
  <c r="G14" i="11"/>
  <c r="I14" i="11"/>
  <c r="C19" i="11"/>
  <c r="F14" i="11"/>
  <c r="E14" i="11"/>
  <c r="H14" i="11"/>
  <c r="C14" i="1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C66" i="23" l="1"/>
  <c r="G51" i="23"/>
  <c r="E66" i="23"/>
  <c r="F42" i="23"/>
  <c r="F6" i="11" s="1"/>
  <c r="D6" i="11"/>
  <c r="D66" i="23"/>
  <c r="F61" i="23"/>
  <c r="F7" i="11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I127" i="11"/>
  <c r="J127" i="11" s="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F16" i="9" l="1"/>
  <c r="M66" i="23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C20" i="23" s="1"/>
  <c r="F36" i="11"/>
  <c r="F38" i="11"/>
  <c r="H7" i="9"/>
  <c r="E21" i="8"/>
  <c r="D22" i="8" s="1"/>
  <c r="D54" i="11" s="1"/>
  <c r="C54" i="11"/>
  <c r="A27" i="8"/>
  <c r="B26" i="8"/>
  <c r="C22" i="23" l="1"/>
  <c r="E18" i="2" s="1"/>
  <c r="H46" i="11" s="1"/>
  <c r="E16" i="2"/>
  <c r="H44" i="11" s="1"/>
  <c r="C21" i="23"/>
  <c r="E17" i="2" s="1"/>
  <c r="H45" i="11" s="1"/>
  <c r="F6" i="2"/>
  <c r="D20" i="23" s="1"/>
  <c r="L12" i="9"/>
  <c r="L8" i="9"/>
  <c r="L14" i="9"/>
  <c r="L9" i="9"/>
  <c r="L15" i="9"/>
  <c r="L10" i="9"/>
  <c r="L11" i="9"/>
  <c r="L13" i="9"/>
  <c r="L6" i="9"/>
  <c r="L7" i="9"/>
  <c r="E33" i="2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19" i="23" l="1"/>
  <c r="F15" i="2" s="1"/>
  <c r="G71" i="11" s="1"/>
  <c r="C71" i="11" s="1"/>
  <c r="D22" i="23"/>
  <c r="F18" i="2" s="1"/>
  <c r="G74" i="11" s="1"/>
  <c r="E74" i="11" s="1"/>
  <c r="D21" i="23"/>
  <c r="F17" i="2" s="1"/>
  <c r="G73" i="11" s="1"/>
  <c r="I17" i="11"/>
  <c r="C17" i="11"/>
  <c r="C45" i="11"/>
  <c r="G45" i="11"/>
  <c r="D17" i="11"/>
  <c r="H17" i="11"/>
  <c r="F17" i="11"/>
  <c r="E17" i="11"/>
  <c r="F45" i="11"/>
  <c r="G17" i="11"/>
  <c r="E45" i="11"/>
  <c r="D45" i="11"/>
  <c r="F16" i="2"/>
  <c r="G72" i="11" s="1"/>
  <c r="C72" i="11" s="1"/>
  <c r="G6" i="2"/>
  <c r="E20" i="23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D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71" i="11" l="1"/>
  <c r="F71" i="11"/>
  <c r="E19" i="23"/>
  <c r="G15" i="2" s="1"/>
  <c r="G101" i="11" s="1"/>
  <c r="D101" i="11" s="1"/>
  <c r="E22" i="23"/>
  <c r="G18" i="2" s="1"/>
  <c r="G104" i="11" s="1"/>
  <c r="C104" i="11" s="1"/>
  <c r="G16" i="2"/>
  <c r="G102" i="11" s="1"/>
  <c r="E102" i="11" s="1"/>
  <c r="E21" i="23"/>
  <c r="G17" i="2" s="1"/>
  <c r="G103" i="11" s="1"/>
  <c r="D73" i="11"/>
  <c r="F73" i="11"/>
  <c r="C73" i="11"/>
  <c r="E73" i="11"/>
  <c r="F72" i="11"/>
  <c r="G77" i="11"/>
  <c r="E72" i="11"/>
  <c r="D74" i="11"/>
  <c r="D72" i="11"/>
  <c r="F74" i="11"/>
  <c r="F21" i="2"/>
  <c r="M14" i="2" s="1"/>
  <c r="C74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1" i="11" l="1"/>
  <c r="C101" i="11"/>
  <c r="C77" i="11"/>
  <c r="E77" i="11"/>
  <c r="F101" i="11"/>
  <c r="F103" i="11"/>
  <c r="E103" i="11"/>
  <c r="C103" i="11"/>
  <c r="D103" i="11"/>
  <c r="E104" i="1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E107" i="11" l="1"/>
  <c r="C107" i="11"/>
  <c r="F107" i="1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94" i="11"/>
  <c r="F96" i="11"/>
  <c r="F94" i="11"/>
  <c r="D96" i="11"/>
  <c r="D94" i="11"/>
  <c r="E96" i="11"/>
  <c r="E94" i="11"/>
  <c r="E24" i="8"/>
  <c r="G43" i="12"/>
  <c r="G47" i="12" s="1"/>
  <c r="B31" i="8"/>
  <c r="A32" i="8"/>
  <c r="E109" i="11" l="1"/>
  <c r="C109" i="11"/>
  <c r="F109" i="1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F21" i="3" s="1"/>
  <c r="G84" i="11"/>
  <c r="C38" i="8"/>
  <c r="B64" i="8"/>
  <c r="A65" i="8"/>
  <c r="F28" i="3" l="1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21" i="3" s="1"/>
  <c r="G114" i="11"/>
  <c r="B94" i="8"/>
  <c r="A95" i="8"/>
  <c r="H99" i="12" l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l="1"/>
  <c r="E260" i="8" s="1"/>
  <c r="A262" i="8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D270" i="8" s="1"/>
  <c r="A271" i="8"/>
  <c r="B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 s="1"/>
  <c r="B274" i="8"/>
  <c r="A275" i="8"/>
  <c r="C274" i="8" l="1"/>
  <c r="E274" i="8" s="1"/>
  <c r="D275" i="8" s="1"/>
  <c r="A276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D288" i="8" s="1"/>
  <c r="A289" i="8"/>
  <c r="B288" i="8"/>
  <c r="C288" i="8" l="1"/>
  <c r="E288" i="8" s="1"/>
  <c r="D289" i="8" s="1"/>
  <c r="B289" i="8"/>
  <c r="A290" i="8"/>
  <c r="C289" i="8" l="1"/>
  <c r="E289" i="8" s="1"/>
  <c r="D290" i="8" s="1"/>
  <c r="B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D295" i="8" s="1"/>
  <c r="B295" i="8"/>
  <c r="A296" i="8"/>
  <c r="C295" i="8" l="1"/>
  <c r="E295" i="8" s="1"/>
  <c r="D296" i="8" s="1"/>
  <c r="B296" i="8"/>
  <c r="A297" i="8"/>
  <c r="C296" i="8" l="1"/>
  <c r="E296" i="8" s="1"/>
  <c r="D297" i="8" s="1"/>
  <c r="A298" i="8"/>
  <c r="B297" i="8"/>
  <c r="C297" i="8" l="1"/>
  <c r="E297" i="8" s="1"/>
  <c r="D298" i="8" s="1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D306" i="8" s="1"/>
  <c r="B306" i="8"/>
  <c r="A307" i="8"/>
  <c r="C306" i="8" l="1"/>
  <c r="E306" i="8" s="1"/>
  <c r="D307" i="8" s="1"/>
  <c r="B307" i="8"/>
  <c r="A308" i="8"/>
  <c r="C307" i="8" l="1"/>
  <c r="E307" i="8" s="1"/>
  <c r="D308" i="8" s="1"/>
  <c r="B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D314" i="8" s="1"/>
  <c r="B314" i="8"/>
  <c r="A315" i="8"/>
  <c r="C314" i="8" l="1"/>
  <c r="E314" i="8" s="1"/>
  <c r="D315" i="8" s="1"/>
  <c r="A316" i="8"/>
  <c r="B315" i="8"/>
  <c r="C315" i="8" l="1"/>
  <c r="E315" i="8" s="1"/>
  <c r="D316" i="8" s="1"/>
  <c r="B316" i="8"/>
  <c r="A317" i="8"/>
  <c r="C316" i="8" l="1"/>
  <c r="E316" i="8" s="1"/>
  <c r="D317" i="8" s="1"/>
  <c r="C317" i="8" s="1"/>
  <c r="E317" i="8" s="1"/>
  <c r="A318" i="8"/>
  <c r="B317" i="8"/>
  <c r="A319" i="8" l="1"/>
  <c r="B318" i="8"/>
  <c r="D318" i="8"/>
  <c r="C318" i="8" l="1"/>
  <c r="E318" i="8" s="1"/>
  <c r="B319" i="8"/>
  <c r="D319" i="8"/>
  <c r="A320" i="8"/>
  <c r="C319" i="8" l="1"/>
  <c r="E319" i="8" s="1"/>
  <c r="D320" i="8" s="1"/>
  <c r="B320" i="8"/>
  <c r="A321" i="8"/>
  <c r="C320" i="8" l="1"/>
  <c r="E320" i="8" s="1"/>
  <c r="D321" i="8" s="1"/>
  <c r="A322" i="8"/>
  <c r="B321" i="8"/>
  <c r="C321" i="8" l="1"/>
  <c r="E321" i="8" s="1"/>
  <c r="D322" i="8" s="1"/>
  <c r="A323" i="8"/>
  <c r="B322" i="8"/>
  <c r="C322" i="8" l="1"/>
  <c r="E322" i="8" s="1"/>
  <c r="D323" i="8" s="1"/>
  <c r="A324" i="8"/>
  <c r="B323" i="8"/>
  <c r="C323" i="8" l="1"/>
  <c r="E323" i="8" s="1"/>
  <c r="D324" i="8" s="1"/>
  <c r="A325" i="8"/>
  <c r="B324" i="8"/>
  <c r="C324" i="8" l="1"/>
  <c r="E324" i="8" s="1"/>
  <c r="D325" i="8" s="1"/>
  <c r="C325" i="8" s="1"/>
  <c r="E325" i="8" s="1"/>
  <c r="B325" i="8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B328" i="8"/>
  <c r="A329" i="8"/>
  <c r="C328" i="8" l="1"/>
  <c r="E328" i="8" s="1"/>
  <c r="B329" i="8"/>
  <c r="A330" i="8"/>
  <c r="D329" i="8"/>
  <c r="C329" i="8" l="1"/>
  <c r="E329" i="8" s="1"/>
  <c r="D330" i="8" s="1"/>
  <c r="B330" i="8"/>
  <c r="A331" i="8"/>
  <c r="C330" i="8" l="1"/>
  <c r="E330" i="8" s="1"/>
  <c r="B331" i="8"/>
  <c r="D331" i="8"/>
  <c r="A332" i="8"/>
  <c r="C331" i="8" l="1"/>
  <c r="E331" i="8" s="1"/>
  <c r="B332" i="8"/>
  <c r="D332" i="8"/>
  <c r="A333" i="8"/>
  <c r="C332" i="8" l="1"/>
  <c r="E332" i="8" s="1"/>
  <c r="D333" i="8"/>
  <c r="A334" i="8"/>
  <c r="B333" i="8"/>
  <c r="C333" i="8" l="1"/>
  <c r="E333" i="8" s="1"/>
  <c r="D334" i="8"/>
  <c r="B334" i="8"/>
  <c r="C334" i="8" s="1"/>
  <c r="E334" i="8" s="1"/>
  <c r="A335" i="8"/>
  <c r="A336" i="8" l="1"/>
  <c r="B335" i="8"/>
  <c r="D335" i="8"/>
  <c r="C335" i="8" l="1"/>
  <c r="E335" i="8" s="1"/>
  <c r="A337" i="8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A344" i="8"/>
  <c r="B343" i="8"/>
  <c r="C343" i="8" l="1"/>
  <c r="E343" i="8" s="1"/>
  <c r="B344" i="8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 s="1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D355" i="8"/>
  <c r="C355" i="8" l="1"/>
  <c r="E355" i="8" s="1"/>
  <c r="B356" i="8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A364" i="8"/>
  <c r="C363" i="8" l="1"/>
  <c r="E363" i="8" s="1"/>
  <c r="D364" i="8"/>
  <c r="B364" i="8"/>
  <c r="A365" i="8"/>
  <c r="C364" i="8" l="1"/>
  <c r="E364" i="8" s="1"/>
  <c r="A366" i="8"/>
  <c r="D365" i="8"/>
  <c r="B365" i="8"/>
  <c r="C365" i="8" l="1"/>
  <c r="E365" i="8" s="1"/>
  <c r="D366" i="8"/>
  <c r="B366" i="8"/>
  <c r="A367" i="8"/>
  <c r="C366" i="8" l="1"/>
  <c r="E366" i="8" s="1"/>
  <c r="D367" i="8"/>
  <c r="B367" i="8"/>
  <c r="A368" i="8"/>
  <c r="C367" i="8" l="1"/>
  <c r="E367" i="8" s="1"/>
  <c r="D368" i="8"/>
  <c r="A369" i="8"/>
  <c r="B368" i="8"/>
  <c r="C368" i="8" s="1"/>
  <c r="E368" i="8" s="1"/>
  <c r="A370" i="8" l="1"/>
  <c r="D369" i="8"/>
  <c r="B369" i="8"/>
  <c r="C369" i="8" l="1"/>
  <c r="E369" i="8" s="1"/>
  <c r="A371" i="8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<sst xmlns="http://schemas.openxmlformats.org/spreadsheetml/2006/main" count="326" uniqueCount="142">
  <si>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</si>
  <si>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</si>
  <si>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</si>
  <si>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</si>
  <si>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</si>
  <si>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</si>
  <si>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</si>
  <si>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</si>
  <si>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</si>
  <si>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</si>
  <si>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</si>
  <si>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</si>
  <si>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</si>
  <si>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</si>
  <si>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</si>
  <si>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</si>
  <si>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</si>
  <si>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</si>
  <si>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</si>
  <si>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</si>
  <si>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</si>
  <si>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</si>
  <si>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</si>
  <si>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</si>
  <si>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</si>
  <si>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</si>
  <si>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</si>
  <si>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</si>
  <si>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</si>
  <si>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</si>
  <si>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</si>
  <si>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</si>
  <si>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</si>
  <si>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</si>
  <si>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</si>
  <si>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</si>
  <si>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</si>
  <si>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</si>
  <si>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</si>
  <si>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</si>
  <si>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</si>
  <si>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</si>
  <si>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</si>
  <si>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</si>
  <si>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</si>
  <si>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</si>
  <si>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</si>
  <si>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</si>
  <si>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</si>
  <si>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</si>
  <si>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</si>
  <si>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</si>
  <si>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</si>
  <si>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</si>
  <si>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</si>
  <si>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</si>
  <si>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</si>
  <si>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</si>
  <si>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</si>
  <si>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</si>
  <si>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</si>
  <si>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</si>
  <si>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</si>
  <si>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</si>
  <si>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</si>
  <si>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</si>
  <si>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</si>
  <si>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</si>
  <si>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</si>
  <si>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</si>
  <si>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</si>
  <si>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</si>
  <si>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</si>
  <si>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</si>
  <si>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</si>
  <si>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</si>
  <si>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</si>
  <si>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</si>
  <si>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</si>
  <si>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</si>
  <si>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</si>
  <si>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</si>
  <si>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</si>
  <si>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</si>
  <si>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</si>
  <si>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</si>
  <si>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</si>
  <si>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</si>
  <si>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</si>
  <si>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</si>
  <si>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</si>
  <si>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</si>
  <si>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</si>
  <si>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</si>
  <si>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</si>
  <si>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</si>
  <si>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</si>
  <si>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</si>
  <si>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</si>
  <si>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</si>
  <si>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</si>
  <si>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</si>
  <si>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</si>
  <si>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</si>
  <si>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</si>
  <si>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</si>
  <si>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</si>
  <si>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</si>
  <si>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</si>
  <si>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</si>
  <si>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</si>
  <si>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</si>
  <si>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</si>
  <si>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</si>
  <si>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</si>
  <si>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</si>
  <si>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</si>
  <si>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</si>
  <si>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</si>
  <si>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</si>
  <si>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</si>
  <si>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</si>
  <si>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</si>
  <si>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</si>
  <si>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Postion 7</t>
  </si>
  <si>
    <t>Postion 8</t>
  </si>
  <si>
    <t>Postion 9</t>
  </si>
  <si>
    <t>Debt</t>
  </si>
  <si>
    <t>CompleteBizPlans</t>
  </si>
  <si>
    <t xml:space="preserve"> </t>
  </si>
  <si>
    <t>Location Development</t>
  </si>
  <si>
    <t>Trucks and Trailers</t>
  </si>
  <si>
    <t>General FF&amp;E</t>
  </si>
  <si>
    <t>Misc. Costs</t>
  </si>
  <si>
    <t>Fuel Costs</t>
  </si>
  <si>
    <t>Maintenance</t>
  </si>
  <si>
    <t>Transportation Fees</t>
  </si>
  <si>
    <t>Dispatch Manager</t>
  </si>
  <si>
    <t>Drivers</t>
  </si>
  <si>
    <t>Bookkeeper</t>
  </si>
  <si>
    <t>Ancillary Fees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</si>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</sst>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2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0" applyFont="1"/>
    <xf numFmtId="0" fontId="12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599AD5"/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340361.27097334422</c:v>
                </c:pt>
                <c:pt idx="1">
                  <c:v>466100.66421209241</c:v>
                </c:pt>
                <c:pt idx="2">
                  <c:v>603852.4367907024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25059.419805170863</c:v>
                </c:pt>
                <c:pt idx="1">
                  <c:v>26870.967289097021</c:v>
                </c:pt>
                <c:pt idx="2">
                  <c:v>28813.471687111116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204216.76258400653</c:v>
                </c:pt>
                <c:pt idx="1">
                  <c:v>279660.39852725546</c:v>
                </c:pt>
                <c:pt idx="2">
                  <c:v>362311.4620744214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340361.27097334422</c:v>
                </c:pt>
                <c:pt idx="1">
                  <c:v>466100.66421209241</c:v>
                </c:pt>
                <c:pt idx="2">
                  <c:v>603852.4367907024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E12-497C-B73C-10A9C4EFC9D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E12-497C-B73C-10A9C4EFC9D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204216.76258400653</c:v>
                </c:pt>
                <c:pt idx="1">
                  <c:v>279660.39852725546</c:v>
                </c:pt>
                <c:pt idx="2">
                  <c:v>362311.4620744214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491877.08858416684</c:v>
                </c:pt>
                <c:pt idx="1">
                  <c:v>325732.58019482909</c:v>
                </c:pt>
                <c:pt idx="2">
                  <c:v>166144.50838933775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627254.22697990667</c:v>
                </c:pt>
                <c:pt idx="1">
                  <c:v>299669.45290573203</c:v>
                </c:pt>
                <c:pt idx="2">
                  <c:v>327584.77407417464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810805.7268090765</c:v>
                </c:pt>
                <c:pt idx="1">
                  <c:v>271679.97801862092</c:v>
                </c:pt>
                <c:pt idx="2">
                  <c:v>539125.74879045552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491877.08858416684</c:v>
                </c:pt>
                <c:pt idx="1">
                  <c:v>627254.22697990667</c:v>
                </c:pt>
                <c:pt idx="2">
                  <c:v>810805.7268090765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325732.58019482909</c:v>
                </c:pt>
                <c:pt idx="1">
                  <c:v>299669.45290573203</c:v>
                </c:pt>
                <c:pt idx="2">
                  <c:v>271679.97801862092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166144.50838933775</c:v>
                </c:pt>
                <c:pt idx="1">
                  <c:v>327584.77407417464</c:v>
                </c:pt>
                <c:pt idx="2">
                  <c:v>539125.74879045552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1315402.9591836734</c:v>
                </c:pt>
                <c:pt idx="1">
                  <c:v>1592894.4897959186</c:v>
                </c:pt>
                <c:pt idx="2">
                  <c:v>1738821.3928571427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1315402.9591836734</c:v>
                </c:pt>
                <c:pt idx="1">
                  <c:v>1592894.4897959186</c:v>
                </c:pt>
                <c:pt idx="2">
                  <c:v>1738821.3928571427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1827000</c:v>
                </c:pt>
                <c:pt idx="1">
                  <c:v>2283750</c:v>
                </c:pt>
                <c:pt idx="2">
                  <c:v>2626312.5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1289094.8999999999</c:v>
                </c:pt>
                <c:pt idx="1">
                  <c:v>1561036.6</c:v>
                </c:pt>
                <c:pt idx="2">
                  <c:v>1704044.9649999999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501365.10000000009</c:v>
                </c:pt>
                <c:pt idx="1">
                  <c:v>677038.39999999991</c:v>
                </c:pt>
                <c:pt idx="2">
                  <c:v>869741.28500000015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1827000</c:v>
                </c:pt>
                <c:pt idx="1">
                  <c:v>2283750</c:v>
                </c:pt>
                <c:pt idx="2">
                  <c:v>2626312.5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948806156511989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501365.10000000009</c:v>
                </c:pt>
                <c:pt idx="1">
                  <c:v>677038.39999999991</c:v>
                </c:pt>
                <c:pt idx="2">
                  <c:v>869741.28500000015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1289094.8999999999</c:v>
                </c:pt>
                <c:pt idx="1">
                  <c:v>1561036.6</c:v>
                </c:pt>
                <c:pt idx="2">
                  <c:v>1704044.9649999999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Transportation Fees</c:v>
                </c:pt>
                <c:pt idx="1">
                  <c:v>Ancillary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491877.08858416684</c:v>
                </c:pt>
                <c:pt idx="1">
                  <c:v>627254.22697990667</c:v>
                </c:pt>
                <c:pt idx="2">
                  <c:v>810805.7268090765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325732.58019482909</c:v>
                </c:pt>
                <c:pt idx="1">
                  <c:v>299669.45290573203</c:v>
                </c:pt>
                <c:pt idx="2">
                  <c:v>271679.97801862092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166144.50838933775</c:v>
                </c:pt>
                <c:pt idx="1">
                  <c:v>327584.77407417464</c:v>
                </c:pt>
                <c:pt idx="2">
                  <c:v>539125.74879045552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24584152255695E-2"/>
          <c:y val="0.15137860535928996"/>
          <c:w val="0.82895083169548867"/>
          <c:h val="0.6950641752697266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Dispatch Manager</c:v>
                </c:pt>
                <c:pt idx="2">
                  <c:v>Drivers</c:v>
                </c:pt>
                <c:pt idx="3">
                  <c:v>Administrative Staff</c:v>
                </c:pt>
                <c:pt idx="4">
                  <c:v>Bookkeeper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0.14814814814814814</c:v>
                </c:pt>
                <c:pt idx="1">
                  <c:v>0.1111111111111111</c:v>
                </c:pt>
                <c:pt idx="2">
                  <c:v>0.62962962962962965</c:v>
                </c:pt>
                <c:pt idx="3">
                  <c:v>5.9259259259259262E-2</c:v>
                </c:pt>
                <c:pt idx="4">
                  <c:v>5.185185185185185E-2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Transportation Fees</c:v>
                </c:pt>
                <c:pt idx="1">
                  <c:v>Ancillary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22340720068218"/>
          <c:y val="0.11645841715041097"/>
          <c:w val="0.74289511279444498"/>
          <c:h val="0.75449258201942726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gradFill>
                <a:gsLst>
                  <a:gs pos="0">
                    <a:srgbClr val="00B0F0"/>
                  </a:gs>
                  <a:gs pos="99000">
                    <a:srgbClr val="599AD5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940-499D-A269-77AF3D972E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940-499D-A269-77AF3D972E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Funds'!$D$6:$D$11</c:f>
              <c:strCache>
                <c:ptCount val="6"/>
                <c:pt idx="0">
                  <c:v>Location Development</c:v>
                </c:pt>
                <c:pt idx="1">
                  <c:v>Trucks and Trailers</c:v>
                </c:pt>
                <c:pt idx="2">
                  <c:v>Working Capital</c:v>
                </c:pt>
                <c:pt idx="3">
                  <c:v>General FF&amp;E</c:v>
                </c:pt>
                <c:pt idx="4">
                  <c:v>Professional Fees and Licensure</c:v>
                </c:pt>
                <c:pt idx="5">
                  <c:v>Misc. Costs</c:v>
                </c:pt>
              </c:strCache>
            </c:strRef>
          </c:cat>
          <c:val>
            <c:numRef>
              <c:f>'Use of Funds'!$E$6:$E$11</c:f>
              <c:numCache>
                <c:formatCode>"$"#,##0</c:formatCode>
                <c:ptCount val="6"/>
                <c:pt idx="0">
                  <c:v>25000</c:v>
                </c:pt>
                <c:pt idx="1">
                  <c:v>285000</c:v>
                </c:pt>
                <c:pt idx="2">
                  <c:v>40000</c:v>
                </c:pt>
                <c:pt idx="3">
                  <c:v>25000</c:v>
                </c:pt>
                <c:pt idx="4">
                  <c:v>15000</c:v>
                </c:pt>
                <c:pt idx="5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2739293664241366E-2"/>
          <c:y val="0.879471425560856"/>
          <c:w val="0.96726070633575867"/>
          <c:h val="0.10116098626357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84076990376204"/>
          <c:y val="0.14248943526699964"/>
          <c:w val="0.84532589676290459"/>
          <c:h val="0.68050946666626333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1827000</c:v>
                </c:pt>
                <c:pt idx="1">
                  <c:v>2283750</c:v>
                </c:pt>
                <c:pt idx="2">
                  <c:v>2626312.5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8-4EDE-9AD8-CFDBE3274D5A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1289094.8999999999</c:v>
                </c:pt>
                <c:pt idx="1">
                  <c:v>1561036.6</c:v>
                </c:pt>
                <c:pt idx="2">
                  <c:v>1704044.9649999999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8-4EDE-9AD8-CFDBE3274D5A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501365.10000000009</c:v>
                </c:pt>
                <c:pt idx="1">
                  <c:v>677038.39999999991</c:v>
                </c:pt>
                <c:pt idx="2">
                  <c:v>869741.28500000015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8-4EDE-9AD8-CFDBE327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E8-4EDE-9AD8-CFDBE3274D5A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2E8-4EDE-9AD8-CFDBE3274D5A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E8-4EDE-9AD8-CFDBE3274D5A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E8-4EDE-9AD8-CFDBE3274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1827000</c:v>
                </c:pt>
                <c:pt idx="1">
                  <c:v>2283750</c:v>
                </c:pt>
                <c:pt idx="2">
                  <c:v>2626312.5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2E8-4EDE-9AD8-CFDBE3274D5A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E8-4EDE-9AD8-CFDBE3274D5A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E8-4EDE-9AD8-CFDBE3274D5A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E8-4EDE-9AD8-CFDBE3274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501365.10000000009</c:v>
                </c:pt>
                <c:pt idx="1">
                  <c:v>677038.39999999991</c:v>
                </c:pt>
                <c:pt idx="2">
                  <c:v>869741.28500000015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2E8-4EDE-9AD8-CFDBE3274D5A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E8-4EDE-9AD8-CFDBE3274D5A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E8-4EDE-9AD8-CFDBE3274D5A}"/>
                </c:ext>
              </c:extLst>
            </c:dLbl>
            <c:dLbl>
              <c:idx val="2"/>
              <c:layout>
                <c:manualLayout>
                  <c:x val="-1.6280016280017474E-3"/>
                  <c:y val="-6.484295156265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E8-4EDE-9AD8-CFDBE3274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1289094.8999999999</c:v>
                </c:pt>
                <c:pt idx="1">
                  <c:v>1561036.6</c:v>
                </c:pt>
                <c:pt idx="2">
                  <c:v>1704044.9649999999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2E8-4EDE-9AD8-CFDBE3274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340361.27097334422</c:v>
                </c:pt>
                <c:pt idx="1">
                  <c:v>466100.66421209241</c:v>
                </c:pt>
                <c:pt idx="2">
                  <c:v>603852.4367907024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25059.419805170863</c:v>
                </c:pt>
                <c:pt idx="1">
                  <c:v>26870.967289097021</c:v>
                </c:pt>
                <c:pt idx="2">
                  <c:v>28813.471687111116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204216.76258400653</c:v>
                </c:pt>
                <c:pt idx="1">
                  <c:v>279660.39852725546</c:v>
                </c:pt>
                <c:pt idx="2">
                  <c:v>362311.4620744214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340361.27097334422</c:v>
                </c:pt>
                <c:pt idx="1">
                  <c:v>466100.66421209241</c:v>
                </c:pt>
                <c:pt idx="2">
                  <c:v>603852.4367907024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20F-433B-AB9F-93F8A76BBEBF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20F-433B-AB9F-93F8A76BBEB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70233925818533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BA-4E86-B0EF-C781268A59E7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204216.76258400653</c:v>
                </c:pt>
                <c:pt idx="1">
                  <c:v>279660.39852725546</c:v>
                </c:pt>
                <c:pt idx="2">
                  <c:v>362311.4620744214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409575</xdr:colOff>
      <xdr:row>29</xdr:row>
      <xdr:rowOff>133350</xdr:rowOff>
    </xdr:from>
    <xdr:to>
      <xdr:col>21</xdr:col>
      <xdr:colOff>485228</xdr:colOff>
      <xdr:row>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85F631-27FA-4BC2-A386-A5171241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2700" y="56578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47625</xdr:rowOff>
    </xdr:from>
    <xdr:to>
      <xdr:col>22</xdr:col>
      <xdr:colOff>247103</xdr:colOff>
      <xdr:row>12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90A881-FDE7-4514-A66D-A8887811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2381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304800</xdr:colOff>
      <xdr:row>0</xdr:row>
      <xdr:rowOff>76200</xdr:rowOff>
    </xdr:from>
    <xdr:to>
      <xdr:col>26</xdr:col>
      <xdr:colOff>380453</xdr:colOff>
      <xdr:row>11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11512-739C-4C9D-A720-CB23F882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600" y="762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523875</xdr:colOff>
      <xdr:row>1</xdr:row>
      <xdr:rowOff>171450</xdr:rowOff>
    </xdr:from>
    <xdr:to>
      <xdr:col>25</xdr:col>
      <xdr:colOff>599528</xdr:colOff>
      <xdr:row>13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A86CE2-1DA8-4163-A71E-7EE59F75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3619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57150</xdr:colOff>
      <xdr:row>0</xdr:row>
      <xdr:rowOff>28575</xdr:rowOff>
    </xdr:from>
    <xdr:to>
      <xdr:col>27</xdr:col>
      <xdr:colOff>132803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7F79D-974E-4BA6-B29C-8DB4423B4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285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</xdr:colOff>
      <xdr:row>3</xdr:row>
      <xdr:rowOff>33336</xdr:rowOff>
    </xdr:from>
    <xdr:to>
      <xdr:col>18</xdr:col>
      <xdr:colOff>552449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317107</xdr:colOff>
      <xdr:row>4</xdr:row>
      <xdr:rowOff>9525</xdr:rowOff>
    </xdr:from>
    <xdr:to>
      <xdr:col>5</xdr:col>
      <xdr:colOff>694778</xdr:colOff>
      <xdr:row>13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CF750F-24CF-4289-93E8-831C8DAB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357" y="771525"/>
          <a:ext cx="2444596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666750</xdr:colOff>
      <xdr:row>16</xdr:row>
      <xdr:rowOff>85725</xdr:rowOff>
    </xdr:from>
    <xdr:to>
      <xdr:col>12</xdr:col>
      <xdr:colOff>475703</xdr:colOff>
      <xdr:row>27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A0AC4-BBDC-4A7A-821B-91D5AEE7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337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</xdr:row>
      <xdr:rowOff>152400</xdr:rowOff>
    </xdr:from>
    <xdr:to>
      <xdr:col>20</xdr:col>
      <xdr:colOff>571500</xdr:colOff>
      <xdr:row>29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20</xdr:col>
      <xdr:colOff>342900</xdr:colOff>
      <xdr:row>0</xdr:row>
      <xdr:rowOff>152400</xdr:rowOff>
    </xdr:from>
    <xdr:to>
      <xdr:col>25</xdr:col>
      <xdr:colOff>418553</xdr:colOff>
      <xdr:row>12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2FBFF1-F061-450A-9E0C-CB36084B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1524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8</xdr:row>
      <xdr:rowOff>114300</xdr:rowOff>
    </xdr:from>
    <xdr:to>
      <xdr:col>16</xdr:col>
      <xdr:colOff>133350</xdr:colOff>
      <xdr:row>24</xdr:row>
      <xdr:rowOff>67310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304800</xdr:colOff>
      <xdr:row>2</xdr:row>
      <xdr:rowOff>0</xdr:rowOff>
    </xdr:from>
    <xdr:to>
      <xdr:col>24</xdr:col>
      <xdr:colOff>380453</xdr:colOff>
      <xdr:row>13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AAF9BD-4ECD-4C5A-8E45-2ADC187A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3810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5</xdr:row>
      <xdr:rowOff>133350</xdr:rowOff>
    </xdr:from>
    <xdr:to>
      <xdr:col>16</xdr:col>
      <xdr:colOff>295275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276225</xdr:colOff>
      <xdr:row>0</xdr:row>
      <xdr:rowOff>180975</xdr:rowOff>
    </xdr:from>
    <xdr:to>
      <xdr:col>25</xdr:col>
      <xdr:colOff>351878</xdr:colOff>
      <xdr:row>12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C01C7-6B73-4D07-877E-0D93E318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1809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400050</xdr:colOff>
      <xdr:row>3</xdr:row>
      <xdr:rowOff>133350</xdr:rowOff>
    </xdr:from>
    <xdr:to>
      <xdr:col>24</xdr:col>
      <xdr:colOff>475703</xdr:colOff>
      <xdr:row>15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E7B64F-7E5B-4D4F-A11D-FDFB31AF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7048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504825</xdr:colOff>
      <xdr:row>1</xdr:row>
      <xdr:rowOff>123825</xdr:rowOff>
    </xdr:from>
    <xdr:to>
      <xdr:col>25</xdr:col>
      <xdr:colOff>580478</xdr:colOff>
      <xdr:row>13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AFD2B-DFFE-46F7-9EF6-A80A15BE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3143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457200</xdr:colOff>
      <xdr:row>1</xdr:row>
      <xdr:rowOff>28575</xdr:rowOff>
    </xdr:from>
    <xdr:to>
      <xdr:col>26</xdr:col>
      <xdr:colOff>532853</xdr:colOff>
      <xdr:row>12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B8EC8-C248-4E88-B509-802060950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0" y="2190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U70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110</v>
      </c>
      <c r="C4" s="147" t="s">
        <v>57</v>
      </c>
      <c r="D4" s="147" t="s">
        <v>10</v>
      </c>
      <c r="E4" s="147" t="s">
        <v>8</v>
      </c>
    </row>
    <row r="5" spans="2:5">
      <c r="B5" s="66" t="s">
        <v>136</v>
      </c>
      <c r="C5" s="148">
        <v>0.02</v>
      </c>
      <c r="D5" s="148">
        <v>0.98</v>
      </c>
      <c r="E5" s="148">
        <f>C5+D5</f>
        <v>1</v>
      </c>
    </row>
    <row r="6" spans="2:5">
      <c r="B6" s="66" t="s">
        <v>140</v>
      </c>
      <c r="C6" s="148">
        <v>0.02</v>
      </c>
      <c r="D6" s="148">
        <v>0.98</v>
      </c>
      <c r="E6" s="148">
        <f t="shared" ref="E6:E14" si="0">C6+D6</f>
        <v>1</v>
      </c>
    </row>
    <row r="7" spans="2:5">
      <c r="B7" s="66" t="s">
        <v>102</v>
      </c>
      <c r="C7" s="148">
        <v>0.02</v>
      </c>
      <c r="D7" s="148">
        <v>0.98</v>
      </c>
      <c r="E7" s="148">
        <f t="shared" si="0"/>
        <v>1</v>
      </c>
    </row>
    <row r="8" spans="2:5">
      <c r="B8" s="66" t="s">
        <v>103</v>
      </c>
      <c r="C8" s="148">
        <v>0.02</v>
      </c>
      <c r="D8" s="148">
        <v>0.98</v>
      </c>
      <c r="E8" s="148">
        <f t="shared" si="0"/>
        <v>1</v>
      </c>
    </row>
    <row r="9" spans="2:5">
      <c r="B9" s="66" t="s">
        <v>104</v>
      </c>
      <c r="C9" s="148">
        <v>0.02</v>
      </c>
      <c r="D9" s="148">
        <v>0.98</v>
      </c>
      <c r="E9" s="148">
        <f t="shared" si="0"/>
        <v>1</v>
      </c>
    </row>
    <row r="10" spans="2:5">
      <c r="B10" s="66" t="s">
        <v>105</v>
      </c>
      <c r="C10" s="148">
        <v>0.02</v>
      </c>
      <c r="D10" s="148">
        <v>0.98</v>
      </c>
      <c r="E10" s="148">
        <f t="shared" si="0"/>
        <v>1</v>
      </c>
    </row>
    <row r="11" spans="2:5">
      <c r="B11" s="66" t="s">
        <v>106</v>
      </c>
      <c r="C11" s="148">
        <v>0.02</v>
      </c>
      <c r="D11" s="148">
        <v>0.98</v>
      </c>
      <c r="E11" s="148">
        <f t="shared" si="0"/>
        <v>1</v>
      </c>
    </row>
    <row r="12" spans="2:5">
      <c r="B12" s="66" t="s">
        <v>107</v>
      </c>
      <c r="C12" s="148">
        <v>0.02</v>
      </c>
      <c r="D12" s="148">
        <v>0.98</v>
      </c>
      <c r="E12" s="148">
        <f t="shared" si="0"/>
        <v>1</v>
      </c>
    </row>
    <row r="13" spans="2:5">
      <c r="B13" s="66" t="s">
        <v>108</v>
      </c>
      <c r="C13" s="148">
        <v>0.02</v>
      </c>
      <c r="D13" s="148">
        <v>0.98</v>
      </c>
      <c r="E13" s="148">
        <f t="shared" si="0"/>
        <v>1</v>
      </c>
    </row>
    <row r="14" spans="2:5">
      <c r="B14" s="66" t="s">
        <v>109</v>
      </c>
      <c r="C14" s="148">
        <v>0.02</v>
      </c>
      <c r="D14" s="148">
        <v>0.98</v>
      </c>
      <c r="E14" s="148">
        <f t="shared" si="0"/>
        <v>1</v>
      </c>
    </row>
    <row r="16" spans="2:5">
      <c r="B16" s="146"/>
      <c r="C16" s="146"/>
      <c r="D16" s="146"/>
      <c r="E16" s="146"/>
    </row>
    <row r="17" spans="2:21">
      <c r="B17" s="147" t="s">
        <v>111</v>
      </c>
      <c r="C17" s="147">
        <v>1</v>
      </c>
      <c r="D17" s="147">
        <v>2</v>
      </c>
      <c r="E17" s="147">
        <v>3</v>
      </c>
    </row>
    <row r="18" spans="2:21">
      <c r="B18" s="70" t="s">
        <v>115</v>
      </c>
      <c r="C18" s="94">
        <v>25000</v>
      </c>
      <c r="D18" s="94">
        <f>C18*1.03</f>
        <v>25750</v>
      </c>
      <c r="E18" s="94">
        <f>D18*1.03</f>
        <v>26522.5</v>
      </c>
    </row>
    <row r="19" spans="2:21">
      <c r="B19" s="70" t="s">
        <v>50</v>
      </c>
      <c r="C19" s="94">
        <f>'Profit and Loss Statement'!E6*0.0157</f>
        <v>28683.899999999998</v>
      </c>
      <c r="D19" s="94">
        <f>'Profit and Loss Statement'!F6*0.0157</f>
        <v>35854.875</v>
      </c>
      <c r="E19" s="94">
        <f>'Profit and Loss Statement'!G6*0.0157</f>
        <v>41233.106249999997</v>
      </c>
    </row>
    <row r="20" spans="2:21">
      <c r="B20" s="70" t="s">
        <v>134</v>
      </c>
      <c r="C20" s="94">
        <f>'Profit and Loss Statement'!E6*0.25</f>
        <v>456750</v>
      </c>
      <c r="D20" s="94">
        <f>'Profit and Loss Statement'!F6*0.25</f>
        <v>570937.5</v>
      </c>
      <c r="E20" s="94">
        <f>'Profit and Loss Statement'!G6*0.25</f>
        <v>656578.125</v>
      </c>
    </row>
    <row r="21" spans="2:21">
      <c r="B21" s="70" t="s">
        <v>49</v>
      </c>
      <c r="C21" s="94">
        <f>'Profit and Loss Statement'!E6*0.04</f>
        <v>73080</v>
      </c>
      <c r="D21" s="94">
        <f>'Profit and Loss Statement'!F6*0.04</f>
        <v>91350</v>
      </c>
      <c r="E21" s="94">
        <f>'Profit and Loss Statement'!G6*0.04</f>
        <v>105052.5</v>
      </c>
      <c r="F21" s="119"/>
      <c r="G21" s="119"/>
    </row>
    <row r="22" spans="2:21">
      <c r="B22" s="70" t="s">
        <v>135</v>
      </c>
      <c r="C22" s="94">
        <f>'Profit and Loss Statement'!E6*0.035</f>
        <v>63945.000000000007</v>
      </c>
      <c r="D22" s="94">
        <f>'Profit and Loss Statement'!F6*0.035</f>
        <v>79931.250000000015</v>
      </c>
      <c r="E22" s="94">
        <f>'Profit and Loss Statement'!G6*0.035</f>
        <v>91920.937500000015</v>
      </c>
      <c r="F22" s="1"/>
      <c r="G22" s="1"/>
    </row>
    <row r="23" spans="2:21">
      <c r="B23" s="70" t="s">
        <v>1</v>
      </c>
      <c r="C23" s="94">
        <v>6501</v>
      </c>
      <c r="D23" s="94">
        <f>C23*1.35</f>
        <v>8776.35</v>
      </c>
      <c r="E23" s="94">
        <f>D23*1.35</f>
        <v>11848.072500000002</v>
      </c>
      <c r="F23" s="1"/>
      <c r="G23" s="1"/>
    </row>
    <row r="24" spans="2:21">
      <c r="F24" s="1"/>
      <c r="G24" s="1"/>
    </row>
    <row r="25" spans="2:21">
      <c r="F25" s="1"/>
      <c r="G25" s="1"/>
    </row>
    <row r="30" spans="2:21">
      <c r="B30" s="149" t="s">
        <v>112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12"/>
      <c r="P30" s="112"/>
      <c r="Q30" s="112"/>
      <c r="R30" s="112"/>
      <c r="S30" s="112"/>
      <c r="T30" s="112"/>
      <c r="U30" s="112"/>
    </row>
    <row r="31" spans="2:21">
      <c r="B31" s="151" t="s">
        <v>5</v>
      </c>
      <c r="C31" s="152">
        <v>1</v>
      </c>
      <c r="D31" s="152">
        <f>C31+1</f>
        <v>2</v>
      </c>
      <c r="E31" s="152">
        <f t="shared" ref="E31:N31" si="1">D31+1</f>
        <v>3</v>
      </c>
      <c r="F31" s="152">
        <f t="shared" si="1"/>
        <v>4</v>
      </c>
      <c r="G31" s="152">
        <f t="shared" si="1"/>
        <v>5</v>
      </c>
      <c r="H31" s="152">
        <f t="shared" si="1"/>
        <v>6</v>
      </c>
      <c r="I31" s="152">
        <f t="shared" si="1"/>
        <v>7</v>
      </c>
      <c r="J31" s="152">
        <f t="shared" si="1"/>
        <v>8</v>
      </c>
      <c r="K31" s="152">
        <f t="shared" si="1"/>
        <v>9</v>
      </c>
      <c r="L31" s="152">
        <f t="shared" si="1"/>
        <v>10</v>
      </c>
      <c r="M31" s="152">
        <f t="shared" si="1"/>
        <v>11</v>
      </c>
      <c r="N31" s="152">
        <f t="shared" si="1"/>
        <v>12</v>
      </c>
      <c r="O31" s="112"/>
      <c r="P31" s="112"/>
      <c r="Q31" s="112"/>
      <c r="R31" s="112"/>
      <c r="S31" s="112"/>
      <c r="T31" s="112"/>
      <c r="U31" s="112" t="s">
        <v>128</v>
      </c>
    </row>
    <row r="32" spans="2:21">
      <c r="B32" s="66" t="str">
        <f t="shared" ref="B32:B41" si="2">B5</f>
        <v>Transportation Fees</v>
      </c>
      <c r="C32" s="94">
        <v>145000</v>
      </c>
      <c r="D32" s="94">
        <v>145000</v>
      </c>
      <c r="E32" s="94">
        <v>145000</v>
      </c>
      <c r="F32" s="94">
        <v>145000</v>
      </c>
      <c r="G32" s="94">
        <v>145000</v>
      </c>
      <c r="H32" s="94">
        <v>145000</v>
      </c>
      <c r="I32" s="94">
        <v>145000</v>
      </c>
      <c r="J32" s="94">
        <v>145000</v>
      </c>
      <c r="K32" s="94">
        <v>145000</v>
      </c>
      <c r="L32" s="94">
        <v>145000</v>
      </c>
      <c r="M32" s="94">
        <v>145000</v>
      </c>
      <c r="N32" s="94">
        <v>145000</v>
      </c>
      <c r="O32" s="112"/>
      <c r="P32" s="112"/>
      <c r="Q32" s="112"/>
      <c r="R32" s="112"/>
      <c r="S32" s="112"/>
      <c r="T32" s="112"/>
      <c r="U32" s="112"/>
    </row>
    <row r="33" spans="2:21">
      <c r="B33" s="66" t="str">
        <f t="shared" si="2"/>
        <v>Ancillary Fees</v>
      </c>
      <c r="C33" s="94">
        <f>C32*0.05</f>
        <v>7250</v>
      </c>
      <c r="D33" s="94">
        <f t="shared" ref="D33:N33" si="3">D32*0.05</f>
        <v>7250</v>
      </c>
      <c r="E33" s="94">
        <f t="shared" si="3"/>
        <v>7250</v>
      </c>
      <c r="F33" s="94">
        <f t="shared" si="3"/>
        <v>7250</v>
      </c>
      <c r="G33" s="94">
        <f t="shared" si="3"/>
        <v>7250</v>
      </c>
      <c r="H33" s="94">
        <f t="shared" si="3"/>
        <v>7250</v>
      </c>
      <c r="I33" s="94">
        <f t="shared" si="3"/>
        <v>7250</v>
      </c>
      <c r="J33" s="94">
        <f t="shared" si="3"/>
        <v>7250</v>
      </c>
      <c r="K33" s="94">
        <f t="shared" si="3"/>
        <v>7250</v>
      </c>
      <c r="L33" s="94">
        <f t="shared" si="3"/>
        <v>7250</v>
      </c>
      <c r="M33" s="94">
        <f t="shared" si="3"/>
        <v>7250</v>
      </c>
      <c r="N33" s="94">
        <f t="shared" si="3"/>
        <v>7250</v>
      </c>
      <c r="O33" s="112"/>
      <c r="P33" s="112"/>
      <c r="Q33" s="112"/>
      <c r="R33" s="112"/>
      <c r="S33" s="112"/>
      <c r="T33" s="112"/>
      <c r="U33" s="112"/>
    </row>
    <row r="34" spans="2:21">
      <c r="B34" s="66" t="str">
        <f t="shared" si="2"/>
        <v>Item 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112"/>
      <c r="P34" s="112"/>
      <c r="Q34" s="112"/>
      <c r="R34" s="112"/>
      <c r="S34" s="112"/>
      <c r="T34" s="112"/>
      <c r="U34" s="112"/>
    </row>
    <row r="35" spans="2:21">
      <c r="B35" s="66" t="str">
        <f t="shared" si="2"/>
        <v>Item 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112"/>
      <c r="P35" s="112"/>
      <c r="Q35" s="112"/>
      <c r="R35" s="112"/>
      <c r="S35" s="112"/>
      <c r="T35" s="112"/>
      <c r="U35" s="112"/>
    </row>
    <row r="36" spans="2:21">
      <c r="B36" s="66" t="str">
        <f t="shared" si="2"/>
        <v>Item 5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112"/>
      <c r="P36" s="112"/>
      <c r="Q36" s="112"/>
      <c r="R36" s="112"/>
      <c r="S36" s="112"/>
      <c r="T36" s="112"/>
      <c r="U36" s="112"/>
    </row>
    <row r="37" spans="2:21">
      <c r="B37" s="66" t="str">
        <f t="shared" si="2"/>
        <v>Item 6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112"/>
      <c r="P37" s="112"/>
      <c r="Q37" s="112"/>
      <c r="R37" s="112"/>
      <c r="S37" s="112"/>
      <c r="T37" s="112"/>
      <c r="U37" s="112"/>
    </row>
    <row r="38" spans="2:21">
      <c r="B38" s="66" t="str">
        <f t="shared" si="2"/>
        <v>Item 7</v>
      </c>
      <c r="C38" s="94">
        <v>0</v>
      </c>
      <c r="D38" s="94">
        <v>0</v>
      </c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112"/>
      <c r="P38" s="112"/>
      <c r="Q38" s="112"/>
      <c r="R38" s="112"/>
      <c r="S38" s="112"/>
      <c r="T38" s="112"/>
      <c r="U38" s="112"/>
    </row>
    <row r="39" spans="2:21">
      <c r="B39" s="66" t="str">
        <f t="shared" si="2"/>
        <v>Item 8</v>
      </c>
      <c r="C39" s="94">
        <v>0</v>
      </c>
      <c r="D39" s="94">
        <v>0</v>
      </c>
      <c r="E39" s="94">
        <v>0</v>
      </c>
      <c r="F39" s="94">
        <v>0</v>
      </c>
      <c r="G39" s="94">
        <v>0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112"/>
      <c r="P39" s="112"/>
      <c r="Q39" s="112"/>
      <c r="R39" s="112"/>
      <c r="S39" s="112"/>
      <c r="T39" s="112"/>
      <c r="U39" s="112"/>
    </row>
    <row r="40" spans="2:21">
      <c r="B40" s="66" t="str">
        <f t="shared" si="2"/>
        <v>Item 9</v>
      </c>
      <c r="C40" s="94">
        <v>0</v>
      </c>
      <c r="D40" s="94">
        <v>0</v>
      </c>
      <c r="E40" s="94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112"/>
      <c r="P40" s="112"/>
      <c r="Q40" s="112"/>
      <c r="R40" s="112"/>
      <c r="S40" s="112"/>
      <c r="T40" s="112"/>
      <c r="U40" s="112"/>
    </row>
    <row r="41" spans="2:21">
      <c r="B41" s="66" t="str">
        <f t="shared" si="2"/>
        <v>Item 10</v>
      </c>
      <c r="C41" s="94">
        <v>0</v>
      </c>
      <c r="D41" s="94">
        <v>0</v>
      </c>
      <c r="E41" s="94">
        <v>0</v>
      </c>
      <c r="F41" s="94">
        <v>0</v>
      </c>
      <c r="G41" s="94">
        <v>0</v>
      </c>
      <c r="H41" s="94">
        <v>0</v>
      </c>
      <c r="I41" s="94">
        <v>0</v>
      </c>
      <c r="J41" s="94">
        <v>0</v>
      </c>
      <c r="K41" s="94">
        <v>0</v>
      </c>
      <c r="L41" s="94">
        <v>0</v>
      </c>
      <c r="M41" s="94">
        <v>0</v>
      </c>
      <c r="N41" s="94">
        <v>0</v>
      </c>
      <c r="O41" s="112"/>
      <c r="P41" s="112"/>
      <c r="Q41" s="112"/>
      <c r="R41" s="112"/>
      <c r="S41" s="112"/>
      <c r="T41" s="112"/>
      <c r="U41" s="112"/>
    </row>
    <row r="42" spans="2:21">
      <c r="B42" s="153" t="s">
        <v>8</v>
      </c>
      <c r="C42" s="154">
        <f>SUM(C32:C41)</f>
        <v>152250</v>
      </c>
      <c r="D42" s="154">
        <f t="shared" ref="D42:N42" si="4">SUM(D32:D41)</f>
        <v>152250</v>
      </c>
      <c r="E42" s="154">
        <f t="shared" si="4"/>
        <v>152250</v>
      </c>
      <c r="F42" s="154">
        <f t="shared" si="4"/>
        <v>152250</v>
      </c>
      <c r="G42" s="154">
        <f t="shared" si="4"/>
        <v>152250</v>
      </c>
      <c r="H42" s="154">
        <f t="shared" si="4"/>
        <v>152250</v>
      </c>
      <c r="I42" s="154">
        <f t="shared" si="4"/>
        <v>152250</v>
      </c>
      <c r="J42" s="154">
        <f t="shared" si="4"/>
        <v>152250</v>
      </c>
      <c r="K42" s="154">
        <f t="shared" si="4"/>
        <v>152250</v>
      </c>
      <c r="L42" s="154">
        <f t="shared" si="4"/>
        <v>152250</v>
      </c>
      <c r="M42" s="154">
        <f t="shared" si="4"/>
        <v>152250</v>
      </c>
      <c r="N42" s="154">
        <f t="shared" si="4"/>
        <v>152250</v>
      </c>
      <c r="O42" s="112"/>
      <c r="P42" s="112"/>
      <c r="Q42" s="112"/>
      <c r="R42" s="112"/>
      <c r="S42" s="112"/>
      <c r="T42" s="112"/>
      <c r="U42" s="112"/>
    </row>
    <row r="43" spans="2:21">
      <c r="O43" s="112"/>
      <c r="P43" s="112"/>
      <c r="Q43" s="112"/>
      <c r="R43" s="145" t="s">
        <v>141</v>
      </c>
      <c r="S43" s="112"/>
      <c r="T43" s="112"/>
      <c r="U43" s="112"/>
    </row>
    <row r="44" spans="2:21">
      <c r="B44" s="146"/>
      <c r="C44" s="14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12"/>
      <c r="R44" s="112"/>
      <c r="S44" s="112"/>
      <c r="T44" s="112"/>
      <c r="U44" s="112"/>
    </row>
    <row r="45" spans="2:21">
      <c r="B45" s="147" t="s">
        <v>122</v>
      </c>
      <c r="C45" s="147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12"/>
      <c r="R45" s="112"/>
      <c r="S45" s="112"/>
      <c r="T45" s="112"/>
      <c r="U45" s="112"/>
    </row>
    <row r="46" spans="2:21">
      <c r="B46" s="66" t="s">
        <v>3</v>
      </c>
      <c r="C46" s="143">
        <v>0.25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12"/>
      <c r="R46" s="112"/>
      <c r="S46" s="112"/>
      <c r="T46" s="112"/>
      <c r="U46" s="112"/>
    </row>
    <row r="47" spans="2:21">
      <c r="B47" s="66" t="s">
        <v>4</v>
      </c>
      <c r="C47" s="143">
        <v>0.15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2:2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49" spans="2:16">
      <c r="B49" s="112" t="s">
        <v>57</v>
      </c>
      <c r="C49" s="112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</row>
    <row r="50" spans="2:16">
      <c r="B50" s="112" t="s">
        <v>5</v>
      </c>
      <c r="C50" s="112">
        <v>1</v>
      </c>
      <c r="D50" s="112">
        <f>C50+1</f>
        <v>2</v>
      </c>
      <c r="E50" s="112">
        <f t="shared" ref="E50:N50" si="5">D50+1</f>
        <v>3</v>
      </c>
      <c r="F50" s="112">
        <f t="shared" si="5"/>
        <v>4</v>
      </c>
      <c r="G50" s="112">
        <f t="shared" si="5"/>
        <v>5</v>
      </c>
      <c r="H50" s="112">
        <f t="shared" si="5"/>
        <v>6</v>
      </c>
      <c r="I50" s="112">
        <f t="shared" si="5"/>
        <v>7</v>
      </c>
      <c r="J50" s="112">
        <f t="shared" si="5"/>
        <v>8</v>
      </c>
      <c r="K50" s="112">
        <f t="shared" si="5"/>
        <v>9</v>
      </c>
      <c r="L50" s="112">
        <f t="shared" si="5"/>
        <v>10</v>
      </c>
      <c r="M50" s="112">
        <f t="shared" si="5"/>
        <v>11</v>
      </c>
      <c r="N50" s="112">
        <f t="shared" si="5"/>
        <v>12</v>
      </c>
      <c r="O50" s="144"/>
      <c r="P50" s="144"/>
    </row>
    <row r="51" spans="2:16">
      <c r="B51" s="112" t="str">
        <f t="shared" ref="B51:B60" si="6">B32</f>
        <v>Transportation Fees</v>
      </c>
      <c r="C51" s="114">
        <f t="shared" ref="C51:N51" si="7">C32*($C$5/$E$5)</f>
        <v>2900</v>
      </c>
      <c r="D51" s="114">
        <f t="shared" si="7"/>
        <v>2900</v>
      </c>
      <c r="E51" s="114">
        <f t="shared" si="7"/>
        <v>2900</v>
      </c>
      <c r="F51" s="114">
        <f t="shared" si="7"/>
        <v>2900</v>
      </c>
      <c r="G51" s="114">
        <f t="shared" si="7"/>
        <v>2900</v>
      </c>
      <c r="H51" s="114">
        <f t="shared" si="7"/>
        <v>2900</v>
      </c>
      <c r="I51" s="114">
        <f t="shared" si="7"/>
        <v>2900</v>
      </c>
      <c r="J51" s="114">
        <f t="shared" si="7"/>
        <v>2900</v>
      </c>
      <c r="K51" s="114">
        <f t="shared" si="7"/>
        <v>2900</v>
      </c>
      <c r="L51" s="114">
        <f t="shared" si="7"/>
        <v>2900</v>
      </c>
      <c r="M51" s="114">
        <f t="shared" si="7"/>
        <v>2900</v>
      </c>
      <c r="N51" s="114">
        <f t="shared" si="7"/>
        <v>2900</v>
      </c>
      <c r="O51" s="144"/>
      <c r="P51" s="144"/>
    </row>
    <row r="52" spans="2:16">
      <c r="B52" s="112" t="str">
        <f t="shared" si="6"/>
        <v>Ancillary Fees</v>
      </c>
      <c r="C52" s="114">
        <f t="shared" ref="C52:N52" si="8">C33*($C$6/$E$6)</f>
        <v>145</v>
      </c>
      <c r="D52" s="114">
        <f t="shared" si="8"/>
        <v>145</v>
      </c>
      <c r="E52" s="114">
        <f t="shared" si="8"/>
        <v>145</v>
      </c>
      <c r="F52" s="114">
        <f t="shared" si="8"/>
        <v>145</v>
      </c>
      <c r="G52" s="114">
        <f t="shared" si="8"/>
        <v>145</v>
      </c>
      <c r="H52" s="114">
        <f t="shared" si="8"/>
        <v>145</v>
      </c>
      <c r="I52" s="114">
        <f t="shared" si="8"/>
        <v>145</v>
      </c>
      <c r="J52" s="114">
        <f t="shared" si="8"/>
        <v>145</v>
      </c>
      <c r="K52" s="114">
        <f t="shared" si="8"/>
        <v>145</v>
      </c>
      <c r="L52" s="114">
        <f t="shared" si="8"/>
        <v>145</v>
      </c>
      <c r="M52" s="114">
        <f t="shared" si="8"/>
        <v>145</v>
      </c>
      <c r="N52" s="114">
        <f t="shared" si="8"/>
        <v>145</v>
      </c>
      <c r="O52" s="144"/>
      <c r="P52" s="144"/>
    </row>
    <row r="53" spans="2:16">
      <c r="B53" s="112" t="str">
        <f t="shared" si="6"/>
        <v>Item 3</v>
      </c>
      <c r="C53" s="114">
        <f t="shared" ref="C53:N53" si="9">C34*($C$7/$E$7)</f>
        <v>0</v>
      </c>
      <c r="D53" s="112">
        <f>D34*($C$7/$E$7)</f>
        <v>0</v>
      </c>
      <c r="E53" s="114">
        <f t="shared" si="9"/>
        <v>0</v>
      </c>
      <c r="F53" s="114">
        <f t="shared" si="9"/>
        <v>0</v>
      </c>
      <c r="G53" s="114">
        <f t="shared" si="9"/>
        <v>0</v>
      </c>
      <c r="H53" s="114">
        <f t="shared" si="9"/>
        <v>0</v>
      </c>
      <c r="I53" s="114">
        <f t="shared" si="9"/>
        <v>0</v>
      </c>
      <c r="J53" s="114">
        <f t="shared" si="9"/>
        <v>0</v>
      </c>
      <c r="K53" s="114">
        <f t="shared" si="9"/>
        <v>0</v>
      </c>
      <c r="L53" s="114">
        <f t="shared" si="9"/>
        <v>0</v>
      </c>
      <c r="M53" s="114">
        <f t="shared" si="9"/>
        <v>0</v>
      </c>
      <c r="N53" s="114">
        <f t="shared" si="9"/>
        <v>0</v>
      </c>
      <c r="O53" s="144"/>
      <c r="P53" s="144"/>
    </row>
    <row r="54" spans="2:16">
      <c r="B54" s="112" t="str">
        <f t="shared" si="6"/>
        <v>Item 4</v>
      </c>
      <c r="C54" s="114">
        <f t="shared" ref="C54:N54" si="10">C35*($C$8/$E$8)</f>
        <v>0</v>
      </c>
      <c r="D54" s="114">
        <f t="shared" si="10"/>
        <v>0</v>
      </c>
      <c r="E54" s="114">
        <f t="shared" si="10"/>
        <v>0</v>
      </c>
      <c r="F54" s="114">
        <f t="shared" si="10"/>
        <v>0</v>
      </c>
      <c r="G54" s="114">
        <f t="shared" si="10"/>
        <v>0</v>
      </c>
      <c r="H54" s="114">
        <f t="shared" si="10"/>
        <v>0</v>
      </c>
      <c r="I54" s="114">
        <f t="shared" si="10"/>
        <v>0</v>
      </c>
      <c r="J54" s="114">
        <f t="shared" si="10"/>
        <v>0</v>
      </c>
      <c r="K54" s="114">
        <f t="shared" si="10"/>
        <v>0</v>
      </c>
      <c r="L54" s="114">
        <f t="shared" si="10"/>
        <v>0</v>
      </c>
      <c r="M54" s="114">
        <f t="shared" si="10"/>
        <v>0</v>
      </c>
      <c r="N54" s="114">
        <f t="shared" si="10"/>
        <v>0</v>
      </c>
      <c r="O54" s="144"/>
      <c r="P54" s="144"/>
    </row>
    <row r="55" spans="2:16">
      <c r="B55" s="112" t="str">
        <f t="shared" si="6"/>
        <v>Item 5</v>
      </c>
      <c r="C55" s="114">
        <f t="shared" ref="C55:N55" si="11">C36*($C$9/$E$9)</f>
        <v>0</v>
      </c>
      <c r="D55" s="114">
        <f t="shared" si="11"/>
        <v>0</v>
      </c>
      <c r="E55" s="114">
        <f t="shared" si="11"/>
        <v>0</v>
      </c>
      <c r="F55" s="114">
        <f t="shared" si="11"/>
        <v>0</v>
      </c>
      <c r="G55" s="114">
        <f t="shared" si="11"/>
        <v>0</v>
      </c>
      <c r="H55" s="114">
        <f t="shared" si="11"/>
        <v>0</v>
      </c>
      <c r="I55" s="114">
        <f t="shared" si="11"/>
        <v>0</v>
      </c>
      <c r="J55" s="114">
        <f t="shared" si="11"/>
        <v>0</v>
      </c>
      <c r="K55" s="114">
        <f t="shared" si="11"/>
        <v>0</v>
      </c>
      <c r="L55" s="114">
        <f t="shared" si="11"/>
        <v>0</v>
      </c>
      <c r="M55" s="114">
        <f t="shared" si="11"/>
        <v>0</v>
      </c>
      <c r="N55" s="114">
        <f t="shared" si="11"/>
        <v>0</v>
      </c>
      <c r="O55" s="144"/>
      <c r="P55" s="144"/>
    </row>
    <row r="56" spans="2:16">
      <c r="B56" s="112" t="str">
        <f t="shared" si="6"/>
        <v>Item 6</v>
      </c>
      <c r="C56" s="114">
        <f t="shared" ref="C56:N56" si="12">C37*($C$10/$E$10)</f>
        <v>0</v>
      </c>
      <c r="D56" s="114">
        <f t="shared" si="12"/>
        <v>0</v>
      </c>
      <c r="E56" s="114">
        <f t="shared" si="12"/>
        <v>0</v>
      </c>
      <c r="F56" s="112">
        <f>F37*($C$10/$E$10)</f>
        <v>0</v>
      </c>
      <c r="G56" s="114">
        <f t="shared" si="12"/>
        <v>0</v>
      </c>
      <c r="H56" s="114">
        <f t="shared" si="12"/>
        <v>0</v>
      </c>
      <c r="I56" s="114">
        <f t="shared" si="12"/>
        <v>0</v>
      </c>
      <c r="J56" s="114">
        <f t="shared" si="12"/>
        <v>0</v>
      </c>
      <c r="K56" s="114">
        <f t="shared" si="12"/>
        <v>0</v>
      </c>
      <c r="L56" s="114">
        <f t="shared" si="12"/>
        <v>0</v>
      </c>
      <c r="M56" s="114">
        <f t="shared" si="12"/>
        <v>0</v>
      </c>
      <c r="N56" s="114">
        <f t="shared" si="12"/>
        <v>0</v>
      </c>
      <c r="O56" s="144"/>
      <c r="P56" s="144"/>
    </row>
    <row r="57" spans="2:16">
      <c r="B57" s="112" t="str">
        <f t="shared" si="6"/>
        <v>Item 7</v>
      </c>
      <c r="C57" s="114">
        <f t="shared" ref="C57:N57" si="13">C38*($C$11/$E$11)</f>
        <v>0</v>
      </c>
      <c r="D57" s="114">
        <f t="shared" si="13"/>
        <v>0</v>
      </c>
      <c r="E57" s="114">
        <f t="shared" si="13"/>
        <v>0</v>
      </c>
      <c r="F57" s="114">
        <f t="shared" si="13"/>
        <v>0</v>
      </c>
      <c r="G57" s="114">
        <f t="shared" si="13"/>
        <v>0</v>
      </c>
      <c r="H57" s="114">
        <f t="shared" si="13"/>
        <v>0</v>
      </c>
      <c r="I57" s="114">
        <f t="shared" si="13"/>
        <v>0</v>
      </c>
      <c r="J57" s="114">
        <f t="shared" si="13"/>
        <v>0</v>
      </c>
      <c r="K57" s="114">
        <f t="shared" si="13"/>
        <v>0</v>
      </c>
      <c r="L57" s="114">
        <f t="shared" si="13"/>
        <v>0</v>
      </c>
      <c r="M57" s="114">
        <f t="shared" si="13"/>
        <v>0</v>
      </c>
      <c r="N57" s="114">
        <f t="shared" si="13"/>
        <v>0</v>
      </c>
      <c r="O57" s="144"/>
      <c r="P57" s="144"/>
    </row>
    <row r="58" spans="2:16">
      <c r="B58" s="112" t="str">
        <f t="shared" si="6"/>
        <v>Item 8</v>
      </c>
      <c r="C58" s="114">
        <f t="shared" ref="C58:N58" si="14">C39*($C$12/$E$12)</f>
        <v>0</v>
      </c>
      <c r="D58" s="114">
        <f t="shared" si="14"/>
        <v>0</v>
      </c>
      <c r="E58" s="114">
        <f t="shared" si="14"/>
        <v>0</v>
      </c>
      <c r="F58" s="114">
        <f t="shared" si="14"/>
        <v>0</v>
      </c>
      <c r="G58" s="114">
        <f t="shared" si="14"/>
        <v>0</v>
      </c>
      <c r="H58" s="114">
        <f t="shared" si="14"/>
        <v>0</v>
      </c>
      <c r="I58" s="114">
        <f t="shared" si="14"/>
        <v>0</v>
      </c>
      <c r="J58" s="114">
        <f t="shared" si="14"/>
        <v>0</v>
      </c>
      <c r="K58" s="114">
        <f t="shared" si="14"/>
        <v>0</v>
      </c>
      <c r="L58" s="114">
        <f t="shared" si="14"/>
        <v>0</v>
      </c>
      <c r="M58" s="114">
        <f t="shared" si="14"/>
        <v>0</v>
      </c>
      <c r="N58" s="114">
        <f t="shared" si="14"/>
        <v>0</v>
      </c>
      <c r="O58" s="144"/>
      <c r="P58" s="144"/>
    </row>
    <row r="59" spans="2:16">
      <c r="B59" s="112" t="str">
        <f t="shared" si="6"/>
        <v>Item 9</v>
      </c>
      <c r="C59" s="114">
        <f t="shared" ref="C59:N59" si="15">C40*($C$13/$E$13)</f>
        <v>0</v>
      </c>
      <c r="D59" s="114">
        <f t="shared" si="15"/>
        <v>0</v>
      </c>
      <c r="E59" s="114">
        <f t="shared" si="15"/>
        <v>0</v>
      </c>
      <c r="F59" s="114">
        <f t="shared" si="15"/>
        <v>0</v>
      </c>
      <c r="G59" s="114">
        <f t="shared" si="15"/>
        <v>0</v>
      </c>
      <c r="H59" s="114">
        <f t="shared" si="15"/>
        <v>0</v>
      </c>
      <c r="I59" s="114">
        <f t="shared" si="15"/>
        <v>0</v>
      </c>
      <c r="J59" s="114">
        <f t="shared" si="15"/>
        <v>0</v>
      </c>
      <c r="K59" s="114">
        <f t="shared" si="15"/>
        <v>0</v>
      </c>
      <c r="L59" s="114">
        <f t="shared" si="15"/>
        <v>0</v>
      </c>
      <c r="M59" s="114">
        <f t="shared" si="15"/>
        <v>0</v>
      </c>
      <c r="N59" s="114">
        <f t="shared" si="15"/>
        <v>0</v>
      </c>
      <c r="O59" s="144"/>
      <c r="P59" s="144"/>
    </row>
    <row r="60" spans="2:16">
      <c r="B60" s="112" t="str">
        <f t="shared" si="6"/>
        <v>Item 10</v>
      </c>
      <c r="C60" s="114">
        <f t="shared" ref="C60:N60" si="16">C41*($C$14/$E$14)</f>
        <v>0</v>
      </c>
      <c r="D60" s="114">
        <f t="shared" si="16"/>
        <v>0</v>
      </c>
      <c r="E60" s="114">
        <f t="shared" si="16"/>
        <v>0</v>
      </c>
      <c r="F60" s="114">
        <f t="shared" si="16"/>
        <v>0</v>
      </c>
      <c r="G60" s="114">
        <f t="shared" si="16"/>
        <v>0</v>
      </c>
      <c r="H60" s="114">
        <f t="shared" si="16"/>
        <v>0</v>
      </c>
      <c r="I60" s="114">
        <f t="shared" si="16"/>
        <v>0</v>
      </c>
      <c r="J60" s="114">
        <f t="shared" si="16"/>
        <v>0</v>
      </c>
      <c r="K60" s="114">
        <f t="shared" si="16"/>
        <v>0</v>
      </c>
      <c r="L60" s="114">
        <f t="shared" si="16"/>
        <v>0</v>
      </c>
      <c r="M60" s="114">
        <f t="shared" si="16"/>
        <v>0</v>
      </c>
      <c r="N60" s="114">
        <f t="shared" si="16"/>
        <v>0</v>
      </c>
      <c r="O60" s="144"/>
      <c r="P60" s="144"/>
    </row>
    <row r="61" spans="2:16">
      <c r="B61" s="112" t="s">
        <v>8</v>
      </c>
      <c r="C61" s="114">
        <f>SUM(C51:C60)</f>
        <v>3045</v>
      </c>
      <c r="D61" s="114">
        <f t="shared" ref="D61:N61" si="17">SUM(D51:D60)</f>
        <v>3045</v>
      </c>
      <c r="E61" s="114">
        <f t="shared" si="17"/>
        <v>3045</v>
      </c>
      <c r="F61" s="114">
        <f t="shared" si="17"/>
        <v>3045</v>
      </c>
      <c r="G61" s="114">
        <f t="shared" si="17"/>
        <v>3045</v>
      </c>
      <c r="H61" s="114">
        <f t="shared" si="17"/>
        <v>3045</v>
      </c>
      <c r="I61" s="114">
        <f t="shared" si="17"/>
        <v>3045</v>
      </c>
      <c r="J61" s="114">
        <f t="shared" si="17"/>
        <v>3045</v>
      </c>
      <c r="K61" s="114">
        <f t="shared" si="17"/>
        <v>3045</v>
      </c>
      <c r="L61" s="114">
        <f t="shared" si="17"/>
        <v>3045</v>
      </c>
      <c r="M61" s="114">
        <f t="shared" si="17"/>
        <v>3045</v>
      </c>
      <c r="N61" s="114">
        <f t="shared" si="17"/>
        <v>3045</v>
      </c>
      <c r="O61" s="144"/>
      <c r="P61" s="144"/>
    </row>
    <row r="62" spans="2:16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44"/>
      <c r="P62" s="144"/>
    </row>
    <row r="63" spans="2:16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44"/>
      <c r="P63" s="144"/>
    </row>
    <row r="64" spans="2:16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18">D65+1</f>
        <v>3</v>
      </c>
      <c r="F65" s="112">
        <f t="shared" si="18"/>
        <v>4</v>
      </c>
      <c r="G65" s="112">
        <f t="shared" si="18"/>
        <v>5</v>
      </c>
      <c r="H65" s="112">
        <f t="shared" si="18"/>
        <v>6</v>
      </c>
      <c r="I65" s="112">
        <f t="shared" si="18"/>
        <v>7</v>
      </c>
      <c r="J65" s="112">
        <f t="shared" si="18"/>
        <v>8</v>
      </c>
      <c r="K65" s="112">
        <f t="shared" si="18"/>
        <v>9</v>
      </c>
      <c r="L65" s="112">
        <f t="shared" si="18"/>
        <v>10</v>
      </c>
      <c r="M65" s="112">
        <f t="shared" si="18"/>
        <v>11</v>
      </c>
      <c r="N65" s="112">
        <f t="shared" si="18"/>
        <v>12</v>
      </c>
    </row>
    <row r="66" spans="2:14">
      <c r="B66" s="112" t="s">
        <v>8</v>
      </c>
      <c r="C66" s="114">
        <f t="shared" ref="C66:N66" si="19">C42-C61</f>
        <v>149205</v>
      </c>
      <c r="D66" s="114">
        <f t="shared" si="19"/>
        <v>149205</v>
      </c>
      <c r="E66" s="114">
        <f t="shared" si="19"/>
        <v>149205</v>
      </c>
      <c r="F66" s="114">
        <f t="shared" si="19"/>
        <v>149205</v>
      </c>
      <c r="G66" s="114">
        <f t="shared" si="19"/>
        <v>149205</v>
      </c>
      <c r="H66" s="114">
        <f t="shared" si="19"/>
        <v>149205</v>
      </c>
      <c r="I66" s="114">
        <f t="shared" si="19"/>
        <v>149205</v>
      </c>
      <c r="J66" s="114">
        <f t="shared" si="19"/>
        <v>149205</v>
      </c>
      <c r="K66" s="114">
        <f t="shared" si="19"/>
        <v>149205</v>
      </c>
      <c r="L66" s="114">
        <f t="shared" si="19"/>
        <v>149205</v>
      </c>
      <c r="M66" s="114">
        <f t="shared" si="19"/>
        <v>149205</v>
      </c>
      <c r="N66" s="114">
        <f t="shared" si="19"/>
        <v>149205</v>
      </c>
    </row>
    <row r="70" spans="2:14">
      <c r="B70" s="112" t="s">
        <v>128</v>
      </c>
    </row>
  </sheetData>
  <sheetProtection algorithmName="SHA-512" hashValue="/vjOMcfDPb6eGGoseLqEn5fCyFIBfpfYUolUn4p1PLl8Ri0T1rZJ0vCA30A/L0/qrya/amAmh0Qxsh3nwIfPkQ==" saltValue="ClkIEkJW/e5ygw8AZRjKqw==" spinCount="100000" sheet="1" objects="1" scenarios="1" selectLockedCells="1"/>
  <hyperlinks>
    <hyperlink ref="R43" r:id="rId1" xr:uid="{B81885C7-3A90-4698-A4F4-1B194947F3D3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P16" sqref="P16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350000</v>
      </c>
      <c r="C5" s="55"/>
      <c r="D5" s="56" t="s">
        <v>36</v>
      </c>
      <c r="E5" s="59">
        <f>PMT(B6/B8,(B7*B8),-B5)</f>
        <v>4063.7967726518418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137655.612718221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4063.7967726518418</v>
      </c>
      <c r="C14" s="1">
        <f>B14-D14</f>
        <v>2022.1301059851751</v>
      </c>
      <c r="D14" s="1">
        <f>(B5*($B$6/$B$8))</f>
        <v>2041.6666666666667</v>
      </c>
      <c r="E14" s="1">
        <f>B5-C14</f>
        <v>347977.86989401485</v>
      </c>
    </row>
    <row r="15" spans="1:5">
      <c r="A15">
        <f>IF(($B$7*$B$8&gt;A14),IF(($B$7*$B$8)=A14,"",A14+1),"")</f>
        <v>2</v>
      </c>
      <c r="B15" s="1">
        <f>IF(A15="","",$B$14)</f>
        <v>4063.7967726518418</v>
      </c>
      <c r="C15" s="1">
        <f>IF(A15="","",B15-D15)</f>
        <v>2033.925864936755</v>
      </c>
      <c r="D15" s="1">
        <f>IF(A15="","",(E14*($B$6/$B$8)))</f>
        <v>2029.8709077150868</v>
      </c>
      <c r="E15" s="1">
        <f>IF(A15="","",E14-C15)</f>
        <v>345943.94402907806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4063.7967726518418</v>
      </c>
      <c r="C16" s="1">
        <f t="shared" ref="C16:C79" si="2">IF(A16="","",B16-D16)</f>
        <v>2045.7904324822198</v>
      </c>
      <c r="D16" s="1">
        <f t="shared" ref="D16:D79" si="3">IF(A16="","",(E15*($B$6/$B$8)))</f>
        <v>2018.006340169622</v>
      </c>
      <c r="E16" s="1">
        <f t="shared" ref="E16:E79" si="4">IF(A16="","",E15-C16)</f>
        <v>343898.15359659586</v>
      </c>
    </row>
    <row r="17" spans="1:5">
      <c r="A17">
        <f t="shared" si="0"/>
        <v>4</v>
      </c>
      <c r="B17" s="1">
        <f t="shared" si="1"/>
        <v>4063.7967726518418</v>
      </c>
      <c r="C17" s="1">
        <f t="shared" si="2"/>
        <v>2057.7242100050325</v>
      </c>
      <c r="D17" s="1">
        <f t="shared" si="3"/>
        <v>2006.0725626468093</v>
      </c>
      <c r="E17" s="1">
        <f t="shared" si="4"/>
        <v>341840.42938659084</v>
      </c>
    </row>
    <row r="18" spans="1:5">
      <c r="A18">
        <f t="shared" si="0"/>
        <v>5</v>
      </c>
      <c r="B18" s="1">
        <f t="shared" si="1"/>
        <v>4063.7967726518418</v>
      </c>
      <c r="C18" s="1">
        <f t="shared" si="2"/>
        <v>2069.7276012300617</v>
      </c>
      <c r="D18" s="1">
        <f t="shared" si="3"/>
        <v>1994.0691714217801</v>
      </c>
      <c r="E18" s="1">
        <f t="shared" si="4"/>
        <v>339770.70178536075</v>
      </c>
    </row>
    <row r="19" spans="1:5">
      <c r="A19">
        <f t="shared" si="0"/>
        <v>6</v>
      </c>
      <c r="B19" s="1">
        <f t="shared" si="1"/>
        <v>4063.7967726518418</v>
      </c>
      <c r="C19" s="1">
        <f t="shared" si="2"/>
        <v>2081.801012237237</v>
      </c>
      <c r="D19" s="1">
        <f t="shared" si="3"/>
        <v>1981.9957604146045</v>
      </c>
      <c r="E19" s="1">
        <f t="shared" si="4"/>
        <v>337688.90077312349</v>
      </c>
    </row>
    <row r="20" spans="1:5">
      <c r="A20">
        <f t="shared" si="0"/>
        <v>7</v>
      </c>
      <c r="B20" s="1">
        <f t="shared" si="1"/>
        <v>4063.7967726518418</v>
      </c>
      <c r="C20" s="1">
        <f t="shared" si="2"/>
        <v>2093.944851475288</v>
      </c>
      <c r="D20" s="1">
        <f t="shared" si="3"/>
        <v>1969.8519211765538</v>
      </c>
      <c r="E20" s="1">
        <f t="shared" si="4"/>
        <v>335594.95592164819</v>
      </c>
    </row>
    <row r="21" spans="1:5">
      <c r="A21">
        <f t="shared" si="0"/>
        <v>8</v>
      </c>
      <c r="B21" s="1">
        <f t="shared" si="1"/>
        <v>4063.7967726518418</v>
      </c>
      <c r="C21" s="1">
        <f t="shared" si="2"/>
        <v>2106.1595297755607</v>
      </c>
      <c r="D21" s="1">
        <f t="shared" si="3"/>
        <v>1957.6372428762811</v>
      </c>
      <c r="E21" s="1">
        <f t="shared" si="4"/>
        <v>333488.79639187263</v>
      </c>
    </row>
    <row r="22" spans="1:5">
      <c r="A22">
        <f t="shared" si="0"/>
        <v>9</v>
      </c>
      <c r="B22" s="1">
        <f t="shared" si="1"/>
        <v>4063.7967726518418</v>
      </c>
      <c r="C22" s="1">
        <f t="shared" si="2"/>
        <v>2118.4454603659178</v>
      </c>
      <c r="D22" s="1">
        <f t="shared" si="3"/>
        <v>1945.3513122859238</v>
      </c>
      <c r="E22" s="1">
        <f t="shared" si="4"/>
        <v>331370.35093150672</v>
      </c>
    </row>
    <row r="23" spans="1:5">
      <c r="A23">
        <f t="shared" si="0"/>
        <v>10</v>
      </c>
      <c r="B23" s="1">
        <f t="shared" si="1"/>
        <v>4063.7967726518418</v>
      </c>
      <c r="C23" s="1">
        <f t="shared" si="2"/>
        <v>2130.8030588847191</v>
      </c>
      <c r="D23" s="1">
        <f t="shared" si="3"/>
        <v>1932.9937137671227</v>
      </c>
      <c r="E23" s="1">
        <f t="shared" si="4"/>
        <v>329239.54787262197</v>
      </c>
    </row>
    <row r="24" spans="1:5">
      <c r="A24">
        <f t="shared" si="0"/>
        <v>11</v>
      </c>
      <c r="B24" s="1">
        <f t="shared" si="1"/>
        <v>4063.7967726518418</v>
      </c>
      <c r="C24" s="1">
        <f t="shared" si="2"/>
        <v>2143.2327433948803</v>
      </c>
      <c r="D24" s="1">
        <f t="shared" si="3"/>
        <v>1920.5640292569617</v>
      </c>
      <c r="E24" s="1">
        <f t="shared" si="4"/>
        <v>327096.31512922712</v>
      </c>
    </row>
    <row r="25" spans="1:5">
      <c r="A25">
        <f t="shared" si="0"/>
        <v>12</v>
      </c>
      <c r="B25" s="1">
        <f t="shared" si="1"/>
        <v>4063.7967726518418</v>
      </c>
      <c r="C25" s="1">
        <f t="shared" si="2"/>
        <v>2155.7349343980168</v>
      </c>
      <c r="D25" s="1">
        <f t="shared" si="3"/>
        <v>1908.061838253825</v>
      </c>
      <c r="E25" s="1">
        <f t="shared" si="4"/>
        <v>324940.58019482909</v>
      </c>
    </row>
    <row r="26" spans="1:5">
      <c r="A26">
        <f t="shared" si="0"/>
        <v>13</v>
      </c>
      <c r="B26" s="1">
        <f t="shared" si="1"/>
        <v>4063.7967726518418</v>
      </c>
      <c r="C26" s="1">
        <f t="shared" si="2"/>
        <v>2168.3100548486718</v>
      </c>
      <c r="D26" s="1">
        <f t="shared" si="3"/>
        <v>1895.4867178031698</v>
      </c>
      <c r="E26" s="1">
        <f t="shared" si="4"/>
        <v>322772.27013998042</v>
      </c>
    </row>
    <row r="27" spans="1:5">
      <c r="A27">
        <f t="shared" si="0"/>
        <v>14</v>
      </c>
      <c r="B27" s="1">
        <f t="shared" si="1"/>
        <v>4063.7967726518418</v>
      </c>
      <c r="C27" s="1">
        <f t="shared" si="2"/>
        <v>2180.9585301686229</v>
      </c>
      <c r="D27" s="1">
        <f t="shared" si="3"/>
        <v>1882.8382424832191</v>
      </c>
      <c r="E27" s="1">
        <f t="shared" si="4"/>
        <v>320591.31160981179</v>
      </c>
    </row>
    <row r="28" spans="1:5">
      <c r="A28">
        <f t="shared" si="0"/>
        <v>15</v>
      </c>
      <c r="B28" s="1">
        <f t="shared" si="1"/>
        <v>4063.7967726518418</v>
      </c>
      <c r="C28" s="1">
        <f t="shared" si="2"/>
        <v>2193.6807882612729</v>
      </c>
      <c r="D28" s="1">
        <f t="shared" si="3"/>
        <v>1870.1159843905689</v>
      </c>
      <c r="E28" s="1">
        <f t="shared" si="4"/>
        <v>318397.6308215505</v>
      </c>
    </row>
    <row r="29" spans="1:5">
      <c r="A29">
        <f t="shared" si="0"/>
        <v>16</v>
      </c>
      <c r="B29" s="1">
        <f t="shared" si="1"/>
        <v>4063.7967726518418</v>
      </c>
      <c r="C29" s="1">
        <f t="shared" si="2"/>
        <v>2206.4772595261302</v>
      </c>
      <c r="D29" s="1">
        <f t="shared" si="3"/>
        <v>1857.3195131257114</v>
      </c>
      <c r="E29" s="1">
        <f t="shared" si="4"/>
        <v>316191.15356202435</v>
      </c>
    </row>
    <row r="30" spans="1:5">
      <c r="A30">
        <f t="shared" si="0"/>
        <v>17</v>
      </c>
      <c r="B30" s="1">
        <f t="shared" si="1"/>
        <v>4063.7967726518418</v>
      </c>
      <c r="C30" s="1">
        <f t="shared" si="2"/>
        <v>2219.3483768733663</v>
      </c>
      <c r="D30" s="1">
        <f t="shared" si="3"/>
        <v>1844.4483957784755</v>
      </c>
      <c r="E30" s="1">
        <f t="shared" si="4"/>
        <v>313971.805185151</v>
      </c>
    </row>
    <row r="31" spans="1:5">
      <c r="A31">
        <f t="shared" si="0"/>
        <v>18</v>
      </c>
      <c r="B31" s="1">
        <f t="shared" si="1"/>
        <v>4063.7967726518418</v>
      </c>
      <c r="C31" s="1">
        <f t="shared" si="2"/>
        <v>2232.2945757384609</v>
      </c>
      <c r="D31" s="1">
        <f t="shared" si="3"/>
        <v>1831.5021969133809</v>
      </c>
      <c r="E31" s="1">
        <f t="shared" si="4"/>
        <v>311739.51060941251</v>
      </c>
    </row>
    <row r="32" spans="1:5">
      <c r="A32">
        <f t="shared" si="0"/>
        <v>19</v>
      </c>
      <c r="B32" s="1">
        <f t="shared" si="1"/>
        <v>4063.7967726518418</v>
      </c>
      <c r="C32" s="1">
        <f t="shared" si="2"/>
        <v>2245.3162940969355</v>
      </c>
      <c r="D32" s="1">
        <f t="shared" si="3"/>
        <v>1818.4804785549063</v>
      </c>
      <c r="E32" s="1">
        <f t="shared" si="4"/>
        <v>309494.19431531557</v>
      </c>
    </row>
    <row r="33" spans="1:5">
      <c r="A33">
        <f t="shared" si="0"/>
        <v>20</v>
      </c>
      <c r="B33" s="1">
        <f t="shared" si="1"/>
        <v>4063.7967726518418</v>
      </c>
      <c r="C33" s="1">
        <f t="shared" si="2"/>
        <v>2258.4139724791676</v>
      </c>
      <c r="D33" s="1">
        <f t="shared" si="3"/>
        <v>1805.3828001726743</v>
      </c>
      <c r="E33" s="1">
        <f t="shared" si="4"/>
        <v>307235.7803428364</v>
      </c>
    </row>
    <row r="34" spans="1:5">
      <c r="A34">
        <f t="shared" si="0"/>
        <v>21</v>
      </c>
      <c r="B34" s="1">
        <f t="shared" si="1"/>
        <v>4063.7967726518418</v>
      </c>
      <c r="C34" s="1">
        <f t="shared" si="2"/>
        <v>2271.588053985296</v>
      </c>
      <c r="D34" s="1">
        <f t="shared" si="3"/>
        <v>1792.2087186665458</v>
      </c>
      <c r="E34" s="1">
        <f t="shared" si="4"/>
        <v>304964.19228885107</v>
      </c>
    </row>
    <row r="35" spans="1:5">
      <c r="A35">
        <f t="shared" si="0"/>
        <v>22</v>
      </c>
      <c r="B35" s="1">
        <f t="shared" si="1"/>
        <v>4063.7967726518418</v>
      </c>
      <c r="C35" s="1">
        <f t="shared" si="2"/>
        <v>2284.8389843002105</v>
      </c>
      <c r="D35" s="1">
        <f t="shared" si="3"/>
        <v>1778.9577883516313</v>
      </c>
      <c r="E35" s="1">
        <f t="shared" si="4"/>
        <v>302679.35330455087</v>
      </c>
    </row>
    <row r="36" spans="1:5">
      <c r="A36">
        <f t="shared" si="0"/>
        <v>23</v>
      </c>
      <c r="B36" s="1">
        <f t="shared" si="1"/>
        <v>4063.7967726518418</v>
      </c>
      <c r="C36" s="1">
        <f t="shared" si="2"/>
        <v>2298.1672117086282</v>
      </c>
      <c r="D36" s="1">
        <f t="shared" si="3"/>
        <v>1765.6295609432134</v>
      </c>
      <c r="E36" s="1">
        <f t="shared" si="4"/>
        <v>300381.18609284225</v>
      </c>
    </row>
    <row r="37" spans="1:5">
      <c r="A37">
        <f t="shared" si="0"/>
        <v>24</v>
      </c>
      <c r="B37" s="1">
        <f t="shared" si="1"/>
        <v>4063.7967726518418</v>
      </c>
      <c r="C37" s="1">
        <f t="shared" si="2"/>
        <v>2311.5731871102616</v>
      </c>
      <c r="D37" s="1">
        <f t="shared" si="3"/>
        <v>1752.22358554158</v>
      </c>
      <c r="E37" s="1">
        <f t="shared" si="4"/>
        <v>298069.61290573201</v>
      </c>
    </row>
    <row r="38" spans="1:5">
      <c r="A38">
        <f t="shared" si="0"/>
        <v>25</v>
      </c>
      <c r="B38" s="1">
        <f t="shared" si="1"/>
        <v>4063.7967726518418</v>
      </c>
      <c r="C38" s="1">
        <f t="shared" si="2"/>
        <v>2325.0573640350717</v>
      </c>
      <c r="D38" s="1">
        <f t="shared" si="3"/>
        <v>1738.7394086167701</v>
      </c>
      <c r="E38" s="1">
        <f t="shared" si="4"/>
        <v>295744.55554169696</v>
      </c>
    </row>
    <row r="39" spans="1:5">
      <c r="A39">
        <f t="shared" si="0"/>
        <v>26</v>
      </c>
      <c r="B39" s="1">
        <f t="shared" si="1"/>
        <v>4063.7967726518418</v>
      </c>
      <c r="C39" s="1">
        <f t="shared" si="2"/>
        <v>2338.6201986586093</v>
      </c>
      <c r="D39" s="1">
        <f t="shared" si="3"/>
        <v>1725.1765739932323</v>
      </c>
      <c r="E39" s="1">
        <f t="shared" si="4"/>
        <v>293405.93534303835</v>
      </c>
    </row>
    <row r="40" spans="1:5">
      <c r="A40">
        <f t="shared" si="0"/>
        <v>27</v>
      </c>
      <c r="B40" s="1">
        <f t="shared" si="1"/>
        <v>4063.7967726518418</v>
      </c>
      <c r="C40" s="1">
        <f t="shared" si="2"/>
        <v>2352.2621498174512</v>
      </c>
      <c r="D40" s="1">
        <f t="shared" si="3"/>
        <v>1711.5346228343903</v>
      </c>
      <c r="E40" s="1">
        <f t="shared" si="4"/>
        <v>291053.67319322092</v>
      </c>
    </row>
    <row r="41" spans="1:5">
      <c r="A41">
        <f t="shared" si="0"/>
        <v>28</v>
      </c>
      <c r="B41" s="1">
        <f t="shared" si="1"/>
        <v>4063.7967726518418</v>
      </c>
      <c r="C41" s="1">
        <f t="shared" si="2"/>
        <v>2365.98367902472</v>
      </c>
      <c r="D41" s="1">
        <f t="shared" si="3"/>
        <v>1697.813093627122</v>
      </c>
      <c r="E41" s="1">
        <f t="shared" si="4"/>
        <v>288687.68951419619</v>
      </c>
    </row>
    <row r="42" spans="1:5">
      <c r="A42">
        <f t="shared" si="0"/>
        <v>29</v>
      </c>
      <c r="B42" s="1">
        <f t="shared" si="1"/>
        <v>4063.7967726518418</v>
      </c>
      <c r="C42" s="1">
        <f t="shared" si="2"/>
        <v>2379.7852504856974</v>
      </c>
      <c r="D42" s="1">
        <f t="shared" si="3"/>
        <v>1684.0115221661445</v>
      </c>
      <c r="E42" s="1">
        <f t="shared" si="4"/>
        <v>286307.90426371049</v>
      </c>
    </row>
    <row r="43" spans="1:5">
      <c r="A43">
        <f t="shared" si="0"/>
        <v>30</v>
      </c>
      <c r="B43" s="1">
        <f t="shared" si="1"/>
        <v>4063.7967726518418</v>
      </c>
      <c r="C43" s="1">
        <f t="shared" si="2"/>
        <v>2393.6673311135305</v>
      </c>
      <c r="D43" s="1">
        <f t="shared" si="3"/>
        <v>1670.1294415383113</v>
      </c>
      <c r="E43" s="1">
        <f t="shared" si="4"/>
        <v>283914.23693259695</v>
      </c>
    </row>
    <row r="44" spans="1:5">
      <c r="A44">
        <f t="shared" si="0"/>
        <v>31</v>
      </c>
      <c r="B44" s="1">
        <f t="shared" si="1"/>
        <v>4063.7967726518418</v>
      </c>
      <c r="C44" s="1">
        <f t="shared" si="2"/>
        <v>2407.6303905450259</v>
      </c>
      <c r="D44" s="1">
        <f t="shared" si="3"/>
        <v>1656.1663821068157</v>
      </c>
      <c r="E44" s="1">
        <f t="shared" si="4"/>
        <v>281506.60654205194</v>
      </c>
    </row>
    <row r="45" spans="1:5">
      <c r="A45">
        <f t="shared" si="0"/>
        <v>32</v>
      </c>
      <c r="B45" s="1">
        <f t="shared" si="1"/>
        <v>4063.7967726518418</v>
      </c>
      <c r="C45" s="1">
        <f t="shared" si="2"/>
        <v>2421.6749011565389</v>
      </c>
      <c r="D45" s="1">
        <f t="shared" si="3"/>
        <v>1642.1218714953031</v>
      </c>
      <c r="E45" s="1">
        <f t="shared" si="4"/>
        <v>279084.93164089543</v>
      </c>
    </row>
    <row r="46" spans="1:5">
      <c r="A46">
        <f t="shared" si="0"/>
        <v>33</v>
      </c>
      <c r="B46" s="1">
        <f t="shared" si="1"/>
        <v>4063.7967726518418</v>
      </c>
      <c r="C46" s="1">
        <f t="shared" si="2"/>
        <v>2435.8013380799516</v>
      </c>
      <c r="D46" s="1">
        <f t="shared" si="3"/>
        <v>1627.9954345718902</v>
      </c>
      <c r="E46" s="1">
        <f t="shared" si="4"/>
        <v>276649.13030281547</v>
      </c>
    </row>
    <row r="47" spans="1:5">
      <c r="A47">
        <f t="shared" si="0"/>
        <v>34</v>
      </c>
      <c r="B47" s="1">
        <f t="shared" si="1"/>
        <v>4063.7967726518418</v>
      </c>
      <c r="C47" s="1">
        <f t="shared" si="2"/>
        <v>2450.0101792187515</v>
      </c>
      <c r="D47" s="1">
        <f t="shared" si="3"/>
        <v>1613.7865934330903</v>
      </c>
      <c r="E47" s="1">
        <f t="shared" si="4"/>
        <v>274199.12012359669</v>
      </c>
    </row>
    <row r="48" spans="1:5">
      <c r="A48">
        <f t="shared" si="0"/>
        <v>35</v>
      </c>
      <c r="B48" s="1">
        <f t="shared" si="1"/>
        <v>4063.7967726518418</v>
      </c>
      <c r="C48" s="1">
        <f t="shared" si="2"/>
        <v>2464.3019052641944</v>
      </c>
      <c r="D48" s="1">
        <f t="shared" si="3"/>
        <v>1599.4948673876474</v>
      </c>
      <c r="E48" s="1">
        <f t="shared" si="4"/>
        <v>271734.81821833248</v>
      </c>
    </row>
    <row r="49" spans="1:5">
      <c r="A49">
        <f t="shared" si="0"/>
        <v>36</v>
      </c>
      <c r="B49" s="1">
        <f t="shared" si="1"/>
        <v>4063.7967726518418</v>
      </c>
      <c r="C49" s="1">
        <f t="shared" si="2"/>
        <v>2478.6769997115689</v>
      </c>
      <c r="D49" s="1">
        <f t="shared" si="3"/>
        <v>1585.1197729402729</v>
      </c>
      <c r="E49" s="1">
        <f t="shared" si="4"/>
        <v>269256.14121862093</v>
      </c>
    </row>
    <row r="50" spans="1:5">
      <c r="A50">
        <f t="shared" si="0"/>
        <v>37</v>
      </c>
      <c r="B50" s="1">
        <f t="shared" si="1"/>
        <v>4063.7967726518418</v>
      </c>
      <c r="C50" s="1">
        <f t="shared" si="2"/>
        <v>2493.1359488765529</v>
      </c>
      <c r="D50" s="1">
        <f t="shared" si="3"/>
        <v>1570.6608237752889</v>
      </c>
      <c r="E50" s="1">
        <f t="shared" si="4"/>
        <v>266763.00526974438</v>
      </c>
    </row>
    <row r="51" spans="1:5">
      <c r="A51">
        <f t="shared" si="0"/>
        <v>38</v>
      </c>
      <c r="B51" s="1">
        <f t="shared" si="1"/>
        <v>4063.7967726518418</v>
      </c>
      <c r="C51" s="1">
        <f t="shared" si="2"/>
        <v>2507.6792419116664</v>
      </c>
      <c r="D51" s="1">
        <f t="shared" si="3"/>
        <v>1556.1175307401757</v>
      </c>
      <c r="E51" s="1">
        <f t="shared" si="4"/>
        <v>264255.32602783269</v>
      </c>
    </row>
    <row r="52" spans="1:5">
      <c r="A52">
        <f t="shared" si="0"/>
        <v>39</v>
      </c>
      <c r="B52" s="1">
        <f t="shared" si="1"/>
        <v>4063.7967726518418</v>
      </c>
      <c r="C52" s="1">
        <f t="shared" si="2"/>
        <v>2522.3073708228176</v>
      </c>
      <c r="D52" s="1">
        <f t="shared" si="3"/>
        <v>1541.489401829024</v>
      </c>
      <c r="E52" s="1">
        <f t="shared" si="4"/>
        <v>261733.01865700987</v>
      </c>
    </row>
    <row r="53" spans="1:5">
      <c r="A53">
        <f t="shared" si="0"/>
        <v>40</v>
      </c>
      <c r="B53" s="1">
        <f t="shared" si="1"/>
        <v>4063.7967726518418</v>
      </c>
      <c r="C53" s="1">
        <f t="shared" si="2"/>
        <v>2537.0208304859507</v>
      </c>
      <c r="D53" s="1">
        <f t="shared" si="3"/>
        <v>1526.7759421658909</v>
      </c>
      <c r="E53" s="1">
        <f t="shared" si="4"/>
        <v>259195.99782652393</v>
      </c>
    </row>
    <row r="54" spans="1:5">
      <c r="A54">
        <f t="shared" si="0"/>
        <v>41</v>
      </c>
      <c r="B54" s="1">
        <f t="shared" si="1"/>
        <v>4063.7967726518418</v>
      </c>
      <c r="C54" s="1">
        <f t="shared" si="2"/>
        <v>2551.8201186637853</v>
      </c>
      <c r="D54" s="1">
        <f t="shared" si="3"/>
        <v>1511.9766539880563</v>
      </c>
      <c r="E54" s="1">
        <f t="shared" si="4"/>
        <v>256644.17770786016</v>
      </c>
    </row>
    <row r="55" spans="1:5">
      <c r="A55">
        <f t="shared" si="0"/>
        <v>42</v>
      </c>
      <c r="B55" s="1">
        <f t="shared" si="1"/>
        <v>4063.7967726518418</v>
      </c>
      <c r="C55" s="1">
        <f t="shared" si="2"/>
        <v>2566.7057360226572</v>
      </c>
      <c r="D55" s="1">
        <f t="shared" si="3"/>
        <v>1497.0910366291844</v>
      </c>
      <c r="E55" s="1">
        <f t="shared" si="4"/>
        <v>254077.47197183751</v>
      </c>
    </row>
    <row r="56" spans="1:5">
      <c r="A56">
        <f t="shared" si="0"/>
        <v>43</v>
      </c>
      <c r="B56" s="1">
        <f t="shared" si="1"/>
        <v>4063.7967726518418</v>
      </c>
      <c r="C56" s="1">
        <f t="shared" si="2"/>
        <v>2581.6781861494565</v>
      </c>
      <c r="D56" s="1">
        <f t="shared" si="3"/>
        <v>1482.1185865023856</v>
      </c>
      <c r="E56" s="1">
        <f t="shared" si="4"/>
        <v>251495.79378568806</v>
      </c>
    </row>
    <row r="57" spans="1:5">
      <c r="A57">
        <f t="shared" si="0"/>
        <v>44</v>
      </c>
      <c r="B57" s="1">
        <f t="shared" si="1"/>
        <v>4063.7967726518418</v>
      </c>
      <c r="C57" s="1">
        <f t="shared" si="2"/>
        <v>2596.7379755686616</v>
      </c>
      <c r="D57" s="1">
        <f t="shared" si="3"/>
        <v>1467.0587970831805</v>
      </c>
      <c r="E57" s="1">
        <f t="shared" si="4"/>
        <v>248899.0558101194</v>
      </c>
    </row>
    <row r="58" spans="1:5">
      <c r="A58">
        <f t="shared" si="0"/>
        <v>45</v>
      </c>
      <c r="B58" s="1">
        <f t="shared" si="1"/>
        <v>4063.7967726518418</v>
      </c>
      <c r="C58" s="1">
        <f t="shared" si="2"/>
        <v>2611.8856137594785</v>
      </c>
      <c r="D58" s="1">
        <f t="shared" si="3"/>
        <v>1451.9111588923633</v>
      </c>
      <c r="E58" s="1">
        <f t="shared" si="4"/>
        <v>246287.17019635992</v>
      </c>
    </row>
    <row r="59" spans="1:5">
      <c r="A59">
        <f t="shared" si="0"/>
        <v>46</v>
      </c>
      <c r="B59" s="1">
        <f t="shared" si="1"/>
        <v>4063.7967726518418</v>
      </c>
      <c r="C59" s="1">
        <f t="shared" si="2"/>
        <v>2627.1216131730753</v>
      </c>
      <c r="D59" s="1">
        <f t="shared" si="3"/>
        <v>1436.6751594787663</v>
      </c>
      <c r="E59" s="1">
        <f t="shared" si="4"/>
        <v>243660.04858318684</v>
      </c>
    </row>
    <row r="60" spans="1:5">
      <c r="A60">
        <f t="shared" si="0"/>
        <v>47</v>
      </c>
      <c r="B60" s="1">
        <f t="shared" si="1"/>
        <v>4063.7967726518418</v>
      </c>
      <c r="C60" s="1">
        <f t="shared" si="2"/>
        <v>2642.4464892499186</v>
      </c>
      <c r="D60" s="1">
        <f t="shared" si="3"/>
        <v>1421.3502834019232</v>
      </c>
      <c r="E60" s="1">
        <f t="shared" si="4"/>
        <v>241017.60209393693</v>
      </c>
    </row>
    <row r="61" spans="1:5">
      <c r="A61">
        <f t="shared" si="0"/>
        <v>48</v>
      </c>
      <c r="B61" s="1">
        <f t="shared" si="1"/>
        <v>4063.7967726518418</v>
      </c>
      <c r="C61" s="1">
        <f t="shared" si="2"/>
        <v>2657.8607604372096</v>
      </c>
      <c r="D61" s="1">
        <f t="shared" si="3"/>
        <v>1405.9360122146322</v>
      </c>
      <c r="E61" s="1">
        <f t="shared" si="4"/>
        <v>238359.74133349973</v>
      </c>
    </row>
    <row r="62" spans="1:5">
      <c r="A62">
        <f t="shared" si="0"/>
        <v>49</v>
      </c>
      <c r="B62" s="1">
        <f t="shared" si="1"/>
        <v>4063.7967726518418</v>
      </c>
      <c r="C62" s="1">
        <f t="shared" si="2"/>
        <v>2673.3649482064266</v>
      </c>
      <c r="D62" s="1">
        <f t="shared" si="3"/>
        <v>1390.431824445415</v>
      </c>
      <c r="E62" s="1">
        <f t="shared" si="4"/>
        <v>235686.37638529329</v>
      </c>
    </row>
    <row r="63" spans="1:5">
      <c r="A63">
        <f t="shared" si="0"/>
        <v>50</v>
      </c>
      <c r="B63" s="1">
        <f t="shared" si="1"/>
        <v>4063.7967726518418</v>
      </c>
      <c r="C63" s="1">
        <f t="shared" si="2"/>
        <v>2688.9595770709643</v>
      </c>
      <c r="D63" s="1">
        <f t="shared" si="3"/>
        <v>1374.8371955808775</v>
      </c>
      <c r="E63" s="1">
        <f t="shared" si="4"/>
        <v>232997.41680822233</v>
      </c>
    </row>
    <row r="64" spans="1:5">
      <c r="A64">
        <f t="shared" si="0"/>
        <v>51</v>
      </c>
      <c r="B64" s="1">
        <f t="shared" si="1"/>
        <v>4063.7967726518418</v>
      </c>
      <c r="C64" s="1">
        <f t="shared" si="2"/>
        <v>2704.6451746038783</v>
      </c>
      <c r="D64" s="1">
        <f t="shared" si="3"/>
        <v>1359.1515980479637</v>
      </c>
      <c r="E64" s="1">
        <f t="shared" si="4"/>
        <v>230292.77163361845</v>
      </c>
    </row>
    <row r="65" spans="1:5">
      <c r="A65">
        <f t="shared" si="0"/>
        <v>52</v>
      </c>
      <c r="B65" s="1">
        <f t="shared" si="1"/>
        <v>4063.7967726518418</v>
      </c>
      <c r="C65" s="1">
        <f t="shared" si="2"/>
        <v>2720.4222714557341</v>
      </c>
      <c r="D65" s="1">
        <f t="shared" si="3"/>
        <v>1343.3745011961078</v>
      </c>
      <c r="E65" s="1">
        <f t="shared" si="4"/>
        <v>227572.34936216273</v>
      </c>
    </row>
    <row r="66" spans="1:5">
      <c r="A66">
        <f t="shared" si="0"/>
        <v>53</v>
      </c>
      <c r="B66" s="1">
        <f t="shared" si="1"/>
        <v>4063.7967726518418</v>
      </c>
      <c r="C66" s="1">
        <f t="shared" si="2"/>
        <v>2736.2914013725594</v>
      </c>
      <c r="D66" s="1">
        <f t="shared" si="3"/>
        <v>1327.5053712792826</v>
      </c>
      <c r="E66" s="1">
        <f t="shared" si="4"/>
        <v>224836.05796079017</v>
      </c>
    </row>
    <row r="67" spans="1:5">
      <c r="A67">
        <f t="shared" si="0"/>
        <v>54</v>
      </c>
      <c r="B67" s="1">
        <f t="shared" si="1"/>
        <v>4063.7967726518418</v>
      </c>
      <c r="C67" s="1">
        <f t="shared" si="2"/>
        <v>2752.2531012138988</v>
      </c>
      <c r="D67" s="1">
        <f t="shared" si="3"/>
        <v>1311.5436714379427</v>
      </c>
      <c r="E67" s="1">
        <f t="shared" si="4"/>
        <v>222083.80485957628</v>
      </c>
    </row>
    <row r="68" spans="1:5">
      <c r="A68">
        <f t="shared" si="0"/>
        <v>55</v>
      </c>
      <c r="B68" s="1">
        <f t="shared" si="1"/>
        <v>4063.7967726518418</v>
      </c>
      <c r="C68" s="1">
        <f t="shared" si="2"/>
        <v>2768.3079109709802</v>
      </c>
      <c r="D68" s="1">
        <f t="shared" si="3"/>
        <v>1295.4888616808616</v>
      </c>
      <c r="E68" s="1">
        <f t="shared" si="4"/>
        <v>219315.49694860529</v>
      </c>
    </row>
    <row r="69" spans="1:5">
      <c r="A69">
        <f t="shared" si="0"/>
        <v>56</v>
      </c>
      <c r="B69" s="1">
        <f t="shared" si="1"/>
        <v>4063.7967726518418</v>
      </c>
      <c r="C69" s="1">
        <f t="shared" si="2"/>
        <v>2784.4563737849776</v>
      </c>
      <c r="D69" s="1">
        <f t="shared" si="3"/>
        <v>1279.3403988668642</v>
      </c>
      <c r="E69" s="1">
        <f t="shared" si="4"/>
        <v>216531.0405748203</v>
      </c>
    </row>
    <row r="70" spans="1:5">
      <c r="A70">
        <f t="shared" si="0"/>
        <v>57</v>
      </c>
      <c r="B70" s="1">
        <f t="shared" si="1"/>
        <v>4063.7967726518418</v>
      </c>
      <c r="C70" s="1">
        <f t="shared" si="2"/>
        <v>2800.6990359653901</v>
      </c>
      <c r="D70" s="1">
        <f t="shared" si="3"/>
        <v>1263.0977366864518</v>
      </c>
      <c r="E70" s="1">
        <f t="shared" si="4"/>
        <v>213730.3415388549</v>
      </c>
    </row>
    <row r="71" spans="1:5">
      <c r="A71">
        <f t="shared" si="0"/>
        <v>58</v>
      </c>
      <c r="B71" s="1">
        <f t="shared" si="1"/>
        <v>4063.7967726518418</v>
      </c>
      <c r="C71" s="1">
        <f t="shared" si="2"/>
        <v>2817.0364470085215</v>
      </c>
      <c r="D71" s="1">
        <f t="shared" si="3"/>
        <v>1246.7603256433204</v>
      </c>
      <c r="E71" s="1">
        <f t="shared" si="4"/>
        <v>210913.30509184639</v>
      </c>
    </row>
    <row r="72" spans="1:5">
      <c r="A72">
        <f t="shared" si="0"/>
        <v>59</v>
      </c>
      <c r="B72" s="1">
        <f t="shared" si="1"/>
        <v>4063.7967726518418</v>
      </c>
      <c r="C72" s="1">
        <f t="shared" si="2"/>
        <v>2833.469159616071</v>
      </c>
      <c r="D72" s="1">
        <f t="shared" si="3"/>
        <v>1230.3276130357706</v>
      </c>
      <c r="E72" s="1">
        <f t="shared" si="4"/>
        <v>208079.83593223031</v>
      </c>
    </row>
    <row r="73" spans="1:5">
      <c r="A73">
        <f t="shared" si="0"/>
        <v>60</v>
      </c>
      <c r="B73" s="1">
        <f t="shared" si="1"/>
        <v>4063.7967726518418</v>
      </c>
      <c r="C73" s="1">
        <f t="shared" si="2"/>
        <v>2849.9977297138316</v>
      </c>
      <c r="D73" s="1">
        <f t="shared" si="3"/>
        <v>1213.7990429380102</v>
      </c>
      <c r="E73" s="1">
        <f t="shared" si="4"/>
        <v>205229.83820251649</v>
      </c>
    </row>
    <row r="74" spans="1:5">
      <c r="A74">
        <f t="shared" si="0"/>
        <v>61</v>
      </c>
      <c r="B74" s="1">
        <f t="shared" si="1"/>
        <v>4063.7967726518418</v>
      </c>
      <c r="C74" s="1">
        <f t="shared" si="2"/>
        <v>2866.6227164704956</v>
      </c>
      <c r="D74" s="1">
        <f t="shared" si="3"/>
        <v>1197.1740561813463</v>
      </c>
      <c r="E74" s="1">
        <f t="shared" si="4"/>
        <v>202363.21548604599</v>
      </c>
    </row>
    <row r="75" spans="1:5">
      <c r="A75">
        <f t="shared" si="0"/>
        <v>62</v>
      </c>
      <c r="B75" s="1">
        <f t="shared" si="1"/>
        <v>4063.7967726518418</v>
      </c>
      <c r="C75" s="1">
        <f t="shared" si="2"/>
        <v>2883.3446823165732</v>
      </c>
      <c r="D75" s="1">
        <f t="shared" si="3"/>
        <v>1180.4520903352684</v>
      </c>
      <c r="E75" s="1">
        <f t="shared" si="4"/>
        <v>199479.8708037294</v>
      </c>
    </row>
    <row r="76" spans="1:5">
      <c r="A76">
        <f t="shared" si="0"/>
        <v>63</v>
      </c>
      <c r="B76" s="1">
        <f t="shared" si="1"/>
        <v>4063.7967726518418</v>
      </c>
      <c r="C76" s="1">
        <f t="shared" si="2"/>
        <v>2900.1641929634202</v>
      </c>
      <c r="D76" s="1">
        <f t="shared" si="3"/>
        <v>1163.6325796884216</v>
      </c>
      <c r="E76" s="1">
        <f t="shared" si="4"/>
        <v>196579.70661076598</v>
      </c>
    </row>
    <row r="77" spans="1:5">
      <c r="A77">
        <f t="shared" si="0"/>
        <v>64</v>
      </c>
      <c r="B77" s="1">
        <f t="shared" si="1"/>
        <v>4063.7967726518418</v>
      </c>
      <c r="C77" s="1">
        <f t="shared" si="2"/>
        <v>2917.0818174223737</v>
      </c>
      <c r="D77" s="1">
        <f t="shared" si="3"/>
        <v>1146.7149552294682</v>
      </c>
      <c r="E77" s="1">
        <f t="shared" si="4"/>
        <v>193662.6247933436</v>
      </c>
    </row>
    <row r="78" spans="1:5">
      <c r="A78">
        <f t="shared" si="0"/>
        <v>65</v>
      </c>
      <c r="B78" s="1">
        <f t="shared" si="1"/>
        <v>4063.7967726518418</v>
      </c>
      <c r="C78" s="1">
        <f t="shared" si="2"/>
        <v>2934.0981280240039</v>
      </c>
      <c r="D78" s="1">
        <f t="shared" si="3"/>
        <v>1129.6986446278377</v>
      </c>
      <c r="E78" s="1">
        <f t="shared" si="4"/>
        <v>190728.5266653196</v>
      </c>
    </row>
    <row r="79" spans="1:5">
      <c r="A79">
        <f t="shared" si="0"/>
        <v>66</v>
      </c>
      <c r="B79" s="1">
        <f t="shared" si="1"/>
        <v>4063.7967726518418</v>
      </c>
      <c r="C79" s="1">
        <f t="shared" si="2"/>
        <v>2951.2137004374772</v>
      </c>
      <c r="D79" s="1">
        <f t="shared" si="3"/>
        <v>1112.5830722143644</v>
      </c>
      <c r="E79" s="1">
        <f t="shared" si="4"/>
        <v>187777.31296488212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4063.7967726518418</v>
      </c>
      <c r="C80" s="1">
        <f t="shared" ref="C80:C143" si="7">IF(A80="","",B80-D80)</f>
        <v>2968.4291136900292</v>
      </c>
      <c r="D80" s="1">
        <f t="shared" ref="D80:D143" si="8">IF(A80="","",(E79*($B$6/$B$8)))</f>
        <v>1095.3676589618124</v>
      </c>
      <c r="E80" s="1">
        <f t="shared" ref="E80:E143" si="9">IF(A80="","",E79-C80)</f>
        <v>184808.88385119208</v>
      </c>
    </row>
    <row r="81" spans="1:5">
      <c r="A81">
        <f t="shared" si="5"/>
        <v>68</v>
      </c>
      <c r="B81" s="1">
        <f t="shared" si="6"/>
        <v>4063.7967726518418</v>
      </c>
      <c r="C81" s="1">
        <f t="shared" si="7"/>
        <v>2985.7449501865549</v>
      </c>
      <c r="D81" s="1">
        <f t="shared" si="8"/>
        <v>1078.0518224652872</v>
      </c>
      <c r="E81" s="1">
        <f t="shared" si="9"/>
        <v>181823.13890100553</v>
      </c>
    </row>
    <row r="82" spans="1:5">
      <c r="A82">
        <f t="shared" si="5"/>
        <v>69</v>
      </c>
      <c r="B82" s="1">
        <f t="shared" si="6"/>
        <v>4063.7967726518418</v>
      </c>
      <c r="C82" s="1">
        <f t="shared" si="7"/>
        <v>3003.1617957293092</v>
      </c>
      <c r="D82" s="1">
        <f t="shared" si="8"/>
        <v>1060.6349769225324</v>
      </c>
      <c r="E82" s="1">
        <f t="shared" si="9"/>
        <v>178819.97710527622</v>
      </c>
    </row>
    <row r="83" spans="1:5">
      <c r="A83">
        <f t="shared" si="5"/>
        <v>70</v>
      </c>
      <c r="B83" s="1">
        <f t="shared" si="6"/>
        <v>4063.7967726518418</v>
      </c>
      <c r="C83" s="1">
        <f t="shared" si="7"/>
        <v>3020.6802395377308</v>
      </c>
      <c r="D83" s="1">
        <f t="shared" si="8"/>
        <v>1043.1165331141112</v>
      </c>
      <c r="E83" s="1">
        <f t="shared" si="9"/>
        <v>175799.29686573849</v>
      </c>
    </row>
    <row r="84" spans="1:5">
      <c r="A84">
        <f t="shared" si="5"/>
        <v>71</v>
      </c>
      <c r="B84" s="1">
        <f t="shared" si="6"/>
        <v>4063.7967726518418</v>
      </c>
      <c r="C84" s="1">
        <f t="shared" si="7"/>
        <v>3038.3008742683674</v>
      </c>
      <c r="D84" s="1">
        <f t="shared" si="8"/>
        <v>1025.4958983834745</v>
      </c>
      <c r="E84" s="1">
        <f t="shared" si="9"/>
        <v>172760.99599147012</v>
      </c>
    </row>
    <row r="85" spans="1:5">
      <c r="A85">
        <f t="shared" si="5"/>
        <v>72</v>
      </c>
      <c r="B85" s="1">
        <f t="shared" si="6"/>
        <v>4063.7967726518418</v>
      </c>
      <c r="C85" s="1">
        <f t="shared" si="7"/>
        <v>3056.0242960349328</v>
      </c>
      <c r="D85" s="1">
        <f t="shared" si="8"/>
        <v>1007.7724766169091</v>
      </c>
      <c r="E85" s="1">
        <f t="shared" si="9"/>
        <v>169704.97169543518</v>
      </c>
    </row>
    <row r="86" spans="1:5">
      <c r="A86">
        <f t="shared" si="5"/>
        <v>73</v>
      </c>
      <c r="B86" s="1">
        <f t="shared" si="6"/>
        <v>4063.7967726518418</v>
      </c>
      <c r="C86" s="1">
        <f t="shared" si="7"/>
        <v>3073.8511044284701</v>
      </c>
      <c r="D86" s="1">
        <f t="shared" si="8"/>
        <v>989.94566822337185</v>
      </c>
      <c r="E86" s="1">
        <f t="shared" si="9"/>
        <v>166631.12059100671</v>
      </c>
    </row>
    <row r="87" spans="1:5">
      <c r="A87">
        <f t="shared" si="5"/>
        <v>74</v>
      </c>
      <c r="B87" s="1">
        <f t="shared" si="6"/>
        <v>4063.7967726518418</v>
      </c>
      <c r="C87" s="1">
        <f t="shared" si="7"/>
        <v>3091.7819025376361</v>
      </c>
      <c r="D87" s="1">
        <f t="shared" si="8"/>
        <v>972.01487011420579</v>
      </c>
      <c r="E87" s="1">
        <f t="shared" si="9"/>
        <v>163539.33868846908</v>
      </c>
    </row>
    <row r="88" spans="1:5">
      <c r="A88">
        <f t="shared" si="5"/>
        <v>75</v>
      </c>
      <c r="B88" s="1">
        <f t="shared" si="6"/>
        <v>4063.7967726518418</v>
      </c>
      <c r="C88" s="1">
        <f t="shared" si="7"/>
        <v>3109.8172969691054</v>
      </c>
      <c r="D88" s="1">
        <f t="shared" si="8"/>
        <v>953.97947568273639</v>
      </c>
      <c r="E88" s="1">
        <f t="shared" si="9"/>
        <v>160429.52139149999</v>
      </c>
    </row>
    <row r="89" spans="1:5">
      <c r="A89">
        <f t="shared" si="5"/>
        <v>76</v>
      </c>
      <c r="B89" s="1">
        <f t="shared" si="6"/>
        <v>4063.7967726518418</v>
      </c>
      <c r="C89" s="1">
        <f t="shared" si="7"/>
        <v>3127.957897868092</v>
      </c>
      <c r="D89" s="1">
        <f t="shared" si="8"/>
        <v>935.83887478375004</v>
      </c>
      <c r="E89" s="1">
        <f t="shared" si="9"/>
        <v>157301.5634936319</v>
      </c>
    </row>
    <row r="90" spans="1:5">
      <c r="A90">
        <f t="shared" si="5"/>
        <v>77</v>
      </c>
      <c r="B90" s="1">
        <f t="shared" si="6"/>
        <v>4063.7967726518418</v>
      </c>
      <c r="C90" s="1">
        <f t="shared" si="7"/>
        <v>3146.2043189389892</v>
      </c>
      <c r="D90" s="1">
        <f t="shared" si="8"/>
        <v>917.59245371285272</v>
      </c>
      <c r="E90" s="1">
        <f t="shared" si="9"/>
        <v>154155.35917469292</v>
      </c>
    </row>
    <row r="91" spans="1:5">
      <c r="A91">
        <f t="shared" si="5"/>
        <v>78</v>
      </c>
      <c r="B91" s="1">
        <f t="shared" si="6"/>
        <v>4063.7967726518418</v>
      </c>
      <c r="C91" s="1">
        <f t="shared" si="7"/>
        <v>3164.557177466133</v>
      </c>
      <c r="D91" s="1">
        <f t="shared" si="8"/>
        <v>899.23959518570871</v>
      </c>
      <c r="E91" s="1">
        <f t="shared" si="9"/>
        <v>150990.80199722678</v>
      </c>
    </row>
    <row r="92" spans="1:5">
      <c r="A92">
        <f t="shared" si="5"/>
        <v>79</v>
      </c>
      <c r="B92" s="1">
        <f t="shared" si="6"/>
        <v>4063.7967726518418</v>
      </c>
      <c r="C92" s="1">
        <f t="shared" si="7"/>
        <v>3183.0170943346857</v>
      </c>
      <c r="D92" s="1">
        <f t="shared" si="8"/>
        <v>880.77967831715625</v>
      </c>
      <c r="E92" s="1">
        <f t="shared" si="9"/>
        <v>147807.7849028921</v>
      </c>
    </row>
    <row r="93" spans="1:5">
      <c r="A93">
        <f t="shared" si="5"/>
        <v>80</v>
      </c>
      <c r="B93" s="1">
        <f t="shared" si="6"/>
        <v>4063.7967726518418</v>
      </c>
      <c r="C93" s="1">
        <f t="shared" si="7"/>
        <v>3201.5846940516376</v>
      </c>
      <c r="D93" s="1">
        <f t="shared" si="8"/>
        <v>862.21207860020399</v>
      </c>
      <c r="E93" s="1">
        <f t="shared" si="9"/>
        <v>144606.20020884046</v>
      </c>
    </row>
    <row r="94" spans="1:5">
      <c r="A94">
        <f t="shared" si="5"/>
        <v>81</v>
      </c>
      <c r="B94" s="1">
        <f t="shared" si="6"/>
        <v>4063.7967726518418</v>
      </c>
      <c r="C94" s="1">
        <f t="shared" si="7"/>
        <v>3220.2606047669392</v>
      </c>
      <c r="D94" s="1">
        <f t="shared" si="8"/>
        <v>843.53616788490274</v>
      </c>
      <c r="E94" s="1">
        <f t="shared" si="9"/>
        <v>141385.93960407353</v>
      </c>
    </row>
    <row r="95" spans="1:5">
      <c r="A95">
        <f t="shared" si="5"/>
        <v>82</v>
      </c>
      <c r="B95" s="1">
        <f t="shared" si="6"/>
        <v>4063.7967726518418</v>
      </c>
      <c r="C95" s="1">
        <f t="shared" si="7"/>
        <v>3239.0454582947459</v>
      </c>
      <c r="D95" s="1">
        <f t="shared" si="8"/>
        <v>824.75131435709568</v>
      </c>
      <c r="E95" s="1">
        <f t="shared" si="9"/>
        <v>138146.89414577879</v>
      </c>
    </row>
    <row r="96" spans="1:5">
      <c r="A96">
        <f t="shared" si="5"/>
        <v>83</v>
      </c>
      <c r="B96" s="1">
        <f t="shared" si="6"/>
        <v>4063.7967726518418</v>
      </c>
      <c r="C96" s="1">
        <f t="shared" si="7"/>
        <v>3257.9398901347986</v>
      </c>
      <c r="D96" s="1">
        <f t="shared" si="8"/>
        <v>805.856882517043</v>
      </c>
      <c r="E96" s="1">
        <f t="shared" si="9"/>
        <v>134888.954255644</v>
      </c>
    </row>
    <row r="97" spans="1:5">
      <c r="A97">
        <f t="shared" si="5"/>
        <v>84</v>
      </c>
      <c r="B97" s="1">
        <f t="shared" si="6"/>
        <v>4063.7967726518418</v>
      </c>
      <c r="C97" s="1">
        <f t="shared" si="7"/>
        <v>3276.9445394939185</v>
      </c>
      <c r="D97" s="1">
        <f t="shared" si="8"/>
        <v>786.85223315792337</v>
      </c>
      <c r="E97" s="1">
        <f t="shared" si="9"/>
        <v>131612.00971615009</v>
      </c>
    </row>
    <row r="98" spans="1:5">
      <c r="A98">
        <f t="shared" si="5"/>
        <v>85</v>
      </c>
      <c r="B98" s="1">
        <f t="shared" si="6"/>
        <v>4063.7967726518418</v>
      </c>
      <c r="C98" s="1">
        <f t="shared" si="7"/>
        <v>3296.0600493076327</v>
      </c>
      <c r="D98" s="1">
        <f t="shared" si="8"/>
        <v>767.73672334420894</v>
      </c>
      <c r="E98" s="1">
        <f t="shared" si="9"/>
        <v>128315.94966684245</v>
      </c>
    </row>
    <row r="99" spans="1:5">
      <c r="A99">
        <f t="shared" si="5"/>
        <v>86</v>
      </c>
      <c r="B99" s="1">
        <f t="shared" si="6"/>
        <v>4063.7967726518418</v>
      </c>
      <c r="C99" s="1">
        <f t="shared" si="7"/>
        <v>3315.2870662619275</v>
      </c>
      <c r="D99" s="1">
        <f t="shared" si="8"/>
        <v>748.5097063899143</v>
      </c>
      <c r="E99" s="1">
        <f t="shared" si="9"/>
        <v>125000.66260058053</v>
      </c>
    </row>
    <row r="100" spans="1:5">
      <c r="A100">
        <f t="shared" si="5"/>
        <v>87</v>
      </c>
      <c r="B100" s="1">
        <f t="shared" si="6"/>
        <v>4063.7967726518418</v>
      </c>
      <c r="C100" s="1">
        <f t="shared" si="7"/>
        <v>3334.6262408151219</v>
      </c>
      <c r="D100" s="1">
        <f t="shared" si="8"/>
        <v>729.17053183671976</v>
      </c>
      <c r="E100" s="1">
        <f t="shared" si="9"/>
        <v>121666.03635976541</v>
      </c>
    </row>
    <row r="101" spans="1:5">
      <c r="A101">
        <f t="shared" si="5"/>
        <v>88</v>
      </c>
      <c r="B101" s="1">
        <f t="shared" si="6"/>
        <v>4063.7967726518418</v>
      </c>
      <c r="C101" s="1">
        <f t="shared" si="7"/>
        <v>3354.0782272198767</v>
      </c>
      <c r="D101" s="1">
        <f t="shared" si="8"/>
        <v>709.71854543196491</v>
      </c>
      <c r="E101" s="1">
        <f t="shared" si="9"/>
        <v>118311.95813254554</v>
      </c>
    </row>
    <row r="102" spans="1:5">
      <c r="A102">
        <f t="shared" si="5"/>
        <v>89</v>
      </c>
      <c r="B102" s="1">
        <f t="shared" si="6"/>
        <v>4063.7967726518418</v>
      </c>
      <c r="C102" s="1">
        <f t="shared" si="7"/>
        <v>3373.643683545326</v>
      </c>
      <c r="D102" s="1">
        <f t="shared" si="8"/>
        <v>690.15308910651561</v>
      </c>
      <c r="E102" s="1">
        <f t="shared" si="9"/>
        <v>114938.31444900022</v>
      </c>
    </row>
    <row r="103" spans="1:5">
      <c r="A103">
        <f t="shared" si="5"/>
        <v>90</v>
      </c>
      <c r="B103" s="1">
        <f t="shared" si="6"/>
        <v>4063.7967726518418</v>
      </c>
      <c r="C103" s="1">
        <f t="shared" si="7"/>
        <v>3393.3232716993407</v>
      </c>
      <c r="D103" s="1">
        <f t="shared" si="8"/>
        <v>670.47350095250124</v>
      </c>
      <c r="E103" s="1">
        <f t="shared" si="9"/>
        <v>111544.99117730088</v>
      </c>
    </row>
    <row r="104" spans="1:5">
      <c r="A104">
        <f t="shared" si="5"/>
        <v>91</v>
      </c>
      <c r="B104" s="1">
        <f t="shared" si="6"/>
        <v>4063.7967726518418</v>
      </c>
      <c r="C104" s="1">
        <f t="shared" si="7"/>
        <v>3413.11765745092</v>
      </c>
      <c r="D104" s="1">
        <f t="shared" si="8"/>
        <v>650.67911520092184</v>
      </c>
      <c r="E104" s="1">
        <f t="shared" si="9"/>
        <v>108131.87351984996</v>
      </c>
    </row>
    <row r="105" spans="1:5">
      <c r="A105">
        <f t="shared" si="5"/>
        <v>92</v>
      </c>
      <c r="B105" s="1">
        <f t="shared" si="6"/>
        <v>4063.7967726518418</v>
      </c>
      <c r="C105" s="1">
        <f t="shared" si="7"/>
        <v>3433.0275104527173</v>
      </c>
      <c r="D105" s="1">
        <f t="shared" si="8"/>
        <v>630.7692621991248</v>
      </c>
      <c r="E105" s="1">
        <f t="shared" si="9"/>
        <v>104698.84600939724</v>
      </c>
    </row>
    <row r="106" spans="1:5">
      <c r="A106">
        <f t="shared" si="5"/>
        <v>93</v>
      </c>
      <c r="B106" s="1">
        <f t="shared" si="6"/>
        <v>4063.7967726518418</v>
      </c>
      <c r="C106" s="1">
        <f t="shared" si="7"/>
        <v>3453.0535042636911</v>
      </c>
      <c r="D106" s="1">
        <f t="shared" si="8"/>
        <v>610.74326838815057</v>
      </c>
      <c r="E106" s="1">
        <f t="shared" si="9"/>
        <v>101245.79250513355</v>
      </c>
    </row>
    <row r="107" spans="1:5">
      <c r="A107">
        <f t="shared" si="5"/>
        <v>94</v>
      </c>
      <c r="B107" s="1">
        <f t="shared" si="6"/>
        <v>4063.7967726518418</v>
      </c>
      <c r="C107" s="1">
        <f t="shared" si="7"/>
        <v>3473.196316371896</v>
      </c>
      <c r="D107" s="1">
        <f t="shared" si="8"/>
        <v>590.60045627994577</v>
      </c>
      <c r="E107" s="1">
        <f t="shared" si="9"/>
        <v>97772.596188761658</v>
      </c>
    </row>
    <row r="108" spans="1:5">
      <c r="A108">
        <f t="shared" si="5"/>
        <v>95</v>
      </c>
      <c r="B108" s="1">
        <f t="shared" si="6"/>
        <v>4063.7967726518418</v>
      </c>
      <c r="C108" s="1">
        <f t="shared" si="7"/>
        <v>3493.4566282173987</v>
      </c>
      <c r="D108" s="1">
        <f t="shared" si="8"/>
        <v>570.340144434443</v>
      </c>
      <c r="E108" s="1">
        <f t="shared" si="9"/>
        <v>94279.139560544252</v>
      </c>
    </row>
    <row r="109" spans="1:5">
      <c r="A109">
        <f t="shared" si="5"/>
        <v>96</v>
      </c>
      <c r="B109" s="1">
        <f t="shared" si="6"/>
        <v>4063.7967726518418</v>
      </c>
      <c r="C109" s="1">
        <f t="shared" si="7"/>
        <v>3513.8351252153334</v>
      </c>
      <c r="D109" s="1">
        <f t="shared" si="8"/>
        <v>549.9616474365082</v>
      </c>
      <c r="E109" s="1">
        <f t="shared" si="9"/>
        <v>90765.304435328915</v>
      </c>
    </row>
    <row r="110" spans="1:5">
      <c r="A110">
        <f t="shared" si="5"/>
        <v>97</v>
      </c>
      <c r="B110" s="1">
        <f t="shared" si="6"/>
        <v>4063.7967726518418</v>
      </c>
      <c r="C110" s="1">
        <f t="shared" si="7"/>
        <v>3534.3324967790895</v>
      </c>
      <c r="D110" s="1">
        <f t="shared" si="8"/>
        <v>529.46427587275207</v>
      </c>
      <c r="E110" s="1">
        <f t="shared" si="9"/>
        <v>87230.971938549832</v>
      </c>
    </row>
    <row r="111" spans="1:5">
      <c r="A111">
        <f t="shared" si="5"/>
        <v>98</v>
      </c>
      <c r="B111" s="1">
        <f t="shared" si="6"/>
        <v>4063.7967726518418</v>
      </c>
      <c r="C111" s="1">
        <f t="shared" si="7"/>
        <v>3554.9494363436343</v>
      </c>
      <c r="D111" s="1">
        <f t="shared" si="8"/>
        <v>508.84733630820739</v>
      </c>
      <c r="E111" s="1">
        <f t="shared" si="9"/>
        <v>83676.022502206193</v>
      </c>
    </row>
    <row r="112" spans="1:5">
      <c r="A112">
        <f t="shared" si="5"/>
        <v>99</v>
      </c>
      <c r="B112" s="1">
        <f t="shared" si="6"/>
        <v>4063.7967726518418</v>
      </c>
      <c r="C112" s="1">
        <f t="shared" si="7"/>
        <v>3575.6866413889725</v>
      </c>
      <c r="D112" s="1">
        <f t="shared" si="8"/>
        <v>488.11013126286946</v>
      </c>
      <c r="E112" s="1">
        <f t="shared" si="9"/>
        <v>80100.335860817228</v>
      </c>
    </row>
    <row r="113" spans="1:5">
      <c r="A113">
        <f t="shared" si="5"/>
        <v>100</v>
      </c>
      <c r="B113" s="1">
        <f t="shared" si="6"/>
        <v>4063.7967726518418</v>
      </c>
      <c r="C113" s="1">
        <f t="shared" si="7"/>
        <v>3596.5448134637413</v>
      </c>
      <c r="D113" s="1">
        <f t="shared" si="8"/>
        <v>467.2519591881005</v>
      </c>
      <c r="E113" s="1">
        <f t="shared" si="9"/>
        <v>76503.791047353487</v>
      </c>
    </row>
    <row r="114" spans="1:5">
      <c r="A114">
        <f t="shared" si="5"/>
        <v>101</v>
      </c>
      <c r="B114" s="1">
        <f t="shared" si="6"/>
        <v>4063.7967726518418</v>
      </c>
      <c r="C114" s="1">
        <f t="shared" si="7"/>
        <v>3617.5246582089467</v>
      </c>
      <c r="D114" s="1">
        <f t="shared" si="8"/>
        <v>446.27211444289537</v>
      </c>
      <c r="E114" s="1">
        <f t="shared" si="9"/>
        <v>72886.266389144541</v>
      </c>
    </row>
    <row r="115" spans="1:5">
      <c r="A115">
        <f t="shared" si="5"/>
        <v>102</v>
      </c>
      <c r="B115" s="1">
        <f t="shared" si="6"/>
        <v>4063.7967726518418</v>
      </c>
      <c r="C115" s="1">
        <f t="shared" si="7"/>
        <v>3638.6268853818319</v>
      </c>
      <c r="D115" s="1">
        <f t="shared" si="8"/>
        <v>425.16988727000984</v>
      </c>
      <c r="E115" s="1">
        <f t="shared" si="9"/>
        <v>69247.639503762708</v>
      </c>
    </row>
    <row r="116" spans="1:5">
      <c r="A116">
        <f t="shared" si="5"/>
        <v>103</v>
      </c>
      <c r="B116" s="1">
        <f t="shared" si="6"/>
        <v>4063.7967726518418</v>
      </c>
      <c r="C116" s="1">
        <f t="shared" si="7"/>
        <v>3659.8522088798927</v>
      </c>
      <c r="D116" s="1">
        <f t="shared" si="8"/>
        <v>403.94456377194916</v>
      </c>
      <c r="E116" s="1">
        <f t="shared" si="9"/>
        <v>65587.787294882815</v>
      </c>
    </row>
    <row r="117" spans="1:5">
      <c r="A117">
        <f t="shared" si="5"/>
        <v>104</v>
      </c>
      <c r="B117" s="1">
        <f t="shared" si="6"/>
        <v>4063.7967726518418</v>
      </c>
      <c r="C117" s="1">
        <f t="shared" si="7"/>
        <v>3681.2013467650254</v>
      </c>
      <c r="D117" s="1">
        <f t="shared" si="8"/>
        <v>382.59542588681643</v>
      </c>
      <c r="E117" s="1">
        <f t="shared" si="9"/>
        <v>61906.58594811779</v>
      </c>
    </row>
    <row r="118" spans="1:5">
      <c r="A118">
        <f t="shared" si="5"/>
        <v>105</v>
      </c>
      <c r="B118" s="1">
        <f t="shared" si="6"/>
        <v>4063.7967726518418</v>
      </c>
      <c r="C118" s="1">
        <f t="shared" si="7"/>
        <v>3702.6750212878214</v>
      </c>
      <c r="D118" s="1">
        <f t="shared" si="8"/>
        <v>361.12175136402044</v>
      </c>
      <c r="E118" s="1">
        <f t="shared" si="9"/>
        <v>58203.910926829965</v>
      </c>
    </row>
    <row r="119" spans="1:5">
      <c r="A119">
        <f t="shared" si="5"/>
        <v>106</v>
      </c>
      <c r="B119" s="1">
        <f t="shared" si="6"/>
        <v>4063.7967726518418</v>
      </c>
      <c r="C119" s="1">
        <f t="shared" si="7"/>
        <v>3724.2739589120001</v>
      </c>
      <c r="D119" s="1">
        <f t="shared" si="8"/>
        <v>339.52281373984147</v>
      </c>
      <c r="E119" s="1">
        <f t="shared" si="9"/>
        <v>54479.636967917962</v>
      </c>
    </row>
    <row r="120" spans="1:5">
      <c r="A120">
        <f t="shared" si="5"/>
        <v>107</v>
      </c>
      <c r="B120" s="1">
        <f t="shared" si="6"/>
        <v>4063.7967726518418</v>
      </c>
      <c r="C120" s="1">
        <f t="shared" si="7"/>
        <v>3745.9988903389872</v>
      </c>
      <c r="D120" s="1">
        <f t="shared" si="8"/>
        <v>317.79788231285477</v>
      </c>
      <c r="E120" s="1">
        <f t="shared" si="9"/>
        <v>50733.638077578973</v>
      </c>
    </row>
    <row r="121" spans="1:5">
      <c r="A121">
        <f t="shared" si="5"/>
        <v>108</v>
      </c>
      <c r="B121" s="1">
        <f t="shared" si="6"/>
        <v>4063.7967726518418</v>
      </c>
      <c r="C121" s="1">
        <f t="shared" si="7"/>
        <v>3767.8505505326311</v>
      </c>
      <c r="D121" s="1">
        <f t="shared" si="8"/>
        <v>295.94622211921069</v>
      </c>
      <c r="E121" s="1">
        <f t="shared" si="9"/>
        <v>46965.787527046341</v>
      </c>
    </row>
    <row r="122" spans="1:5">
      <c r="A122">
        <f t="shared" si="5"/>
        <v>109</v>
      </c>
      <c r="B122" s="1">
        <f t="shared" si="6"/>
        <v>4063.7967726518418</v>
      </c>
      <c r="C122" s="1">
        <f t="shared" si="7"/>
        <v>3789.8296787440713</v>
      </c>
      <c r="D122" s="1">
        <f t="shared" si="8"/>
        <v>273.96709390777033</v>
      </c>
      <c r="E122" s="1">
        <f t="shared" si="9"/>
        <v>43175.957848302271</v>
      </c>
    </row>
    <row r="123" spans="1:5">
      <c r="A123">
        <f t="shared" si="5"/>
        <v>110</v>
      </c>
      <c r="B123" s="1">
        <f t="shared" si="6"/>
        <v>4063.7967726518418</v>
      </c>
      <c r="C123" s="1">
        <f t="shared" si="7"/>
        <v>3811.9370185367452</v>
      </c>
      <c r="D123" s="1">
        <f t="shared" si="8"/>
        <v>251.85975411509659</v>
      </c>
      <c r="E123" s="1">
        <f t="shared" si="9"/>
        <v>39364.020829765526</v>
      </c>
    </row>
    <row r="124" spans="1:5">
      <c r="A124">
        <f t="shared" si="5"/>
        <v>111</v>
      </c>
      <c r="B124" s="1">
        <f t="shared" si="6"/>
        <v>4063.7967726518418</v>
      </c>
      <c r="C124" s="1">
        <f t="shared" si="7"/>
        <v>3834.1733178115428</v>
      </c>
      <c r="D124" s="1">
        <f t="shared" si="8"/>
        <v>229.6234548402989</v>
      </c>
      <c r="E124" s="1">
        <f t="shared" si="9"/>
        <v>35529.84751195398</v>
      </c>
    </row>
    <row r="125" spans="1:5">
      <c r="A125">
        <f t="shared" si="5"/>
        <v>112</v>
      </c>
      <c r="B125" s="1">
        <f t="shared" si="6"/>
        <v>4063.7967726518418</v>
      </c>
      <c r="C125" s="1">
        <f t="shared" si="7"/>
        <v>3856.5393288321102</v>
      </c>
      <c r="D125" s="1">
        <f t="shared" si="8"/>
        <v>207.25744381973155</v>
      </c>
      <c r="E125" s="1">
        <f t="shared" si="9"/>
        <v>31673.30818312187</v>
      </c>
    </row>
    <row r="126" spans="1:5">
      <c r="A126">
        <f t="shared" si="5"/>
        <v>113</v>
      </c>
      <c r="B126" s="1">
        <f t="shared" si="6"/>
        <v>4063.7967726518418</v>
      </c>
      <c r="C126" s="1">
        <f t="shared" si="7"/>
        <v>3879.0358082502976</v>
      </c>
      <c r="D126" s="1">
        <f t="shared" si="8"/>
        <v>184.76096440154424</v>
      </c>
      <c r="E126" s="1">
        <f t="shared" si="9"/>
        <v>27794.272374871573</v>
      </c>
    </row>
    <row r="127" spans="1:5">
      <c r="A127">
        <f t="shared" si="5"/>
        <v>114</v>
      </c>
      <c r="B127" s="1">
        <f t="shared" si="6"/>
        <v>4063.7967726518418</v>
      </c>
      <c r="C127" s="1">
        <f t="shared" si="7"/>
        <v>3901.6635171317575</v>
      </c>
      <c r="D127" s="1">
        <f t="shared" si="8"/>
        <v>162.13325552008419</v>
      </c>
      <c r="E127" s="1">
        <f t="shared" si="9"/>
        <v>23892.608857739815</v>
      </c>
    </row>
    <row r="128" spans="1:5">
      <c r="A128">
        <f t="shared" si="5"/>
        <v>115</v>
      </c>
      <c r="B128" s="1">
        <f t="shared" si="6"/>
        <v>4063.7967726518418</v>
      </c>
      <c r="C128" s="1">
        <f t="shared" si="7"/>
        <v>3924.4232209816928</v>
      </c>
      <c r="D128" s="1">
        <f t="shared" si="8"/>
        <v>139.37355167014891</v>
      </c>
      <c r="E128" s="1">
        <f t="shared" si="9"/>
        <v>19968.18563675812</v>
      </c>
    </row>
    <row r="129" spans="1:5">
      <c r="A129">
        <f t="shared" si="5"/>
        <v>116</v>
      </c>
      <c r="B129" s="1">
        <f t="shared" si="6"/>
        <v>4063.7967726518418</v>
      </c>
      <c r="C129" s="1">
        <f t="shared" si="7"/>
        <v>3947.3156897707527</v>
      </c>
      <c r="D129" s="1">
        <f t="shared" si="8"/>
        <v>116.48108288108904</v>
      </c>
      <c r="E129" s="1">
        <f t="shared" si="9"/>
        <v>16020.869946987368</v>
      </c>
    </row>
    <row r="130" spans="1:5">
      <c r="A130">
        <f t="shared" si="5"/>
        <v>117</v>
      </c>
      <c r="B130" s="1">
        <f t="shared" si="6"/>
        <v>4063.7967726518418</v>
      </c>
      <c r="C130" s="1">
        <f t="shared" si="7"/>
        <v>3970.341697961082</v>
      </c>
      <c r="D130" s="1">
        <f t="shared" si="8"/>
        <v>93.455074690759659</v>
      </c>
      <c r="E130" s="1">
        <f t="shared" si="9"/>
        <v>12050.528249026287</v>
      </c>
    </row>
    <row r="131" spans="1:5">
      <c r="A131">
        <f t="shared" si="5"/>
        <v>118</v>
      </c>
      <c r="B131" s="1">
        <f t="shared" si="6"/>
        <v>4063.7967726518418</v>
      </c>
      <c r="C131" s="1">
        <f t="shared" si="7"/>
        <v>3993.5020245325218</v>
      </c>
      <c r="D131" s="1">
        <f t="shared" si="8"/>
        <v>70.294748119320005</v>
      </c>
      <c r="E131" s="1">
        <f t="shared" si="9"/>
        <v>8057.0262244937658</v>
      </c>
    </row>
    <row r="132" spans="1:5">
      <c r="A132">
        <f t="shared" si="5"/>
        <v>119</v>
      </c>
      <c r="B132" s="1">
        <f t="shared" si="6"/>
        <v>4063.7967726518418</v>
      </c>
      <c r="C132" s="1">
        <f t="shared" si="7"/>
        <v>4016.7974530089614</v>
      </c>
      <c r="D132" s="1">
        <f t="shared" si="8"/>
        <v>46.999319642880302</v>
      </c>
      <c r="E132" s="1">
        <f t="shared" si="9"/>
        <v>4040.2287714848044</v>
      </c>
    </row>
    <row r="133" spans="1:5">
      <c r="A133">
        <f t="shared" si="5"/>
        <v>120</v>
      </c>
      <c r="B133" s="1">
        <f t="shared" si="6"/>
        <v>4063.7967726518418</v>
      </c>
      <c r="C133" s="1">
        <f t="shared" si="7"/>
        <v>4040.2287714848471</v>
      </c>
      <c r="D133" s="1">
        <f t="shared" si="8"/>
        <v>23.568001166994694</v>
      </c>
      <c r="E133" s="1">
        <f t="shared" si="9"/>
        <v>-4.2746250983327627E-11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T10" sqref="T10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7" sqref="U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1315402.9591836734</v>
      </c>
      <c r="H7" s="94">
        <f>'Profit and Loss Statement'!F21/'Profit and Loss Statement'!F8</f>
        <v>1592894.4897959186</v>
      </c>
      <c r="I7" s="94">
        <f>'Profit and Loss Statement'!G21/'Profit and Loss Statement'!G8</f>
        <v>1738821.3928571427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1315402.9591836734</v>
      </c>
      <c r="H11" s="114">
        <f>H7</f>
        <v>1592894.4897959186</v>
      </c>
      <c r="I11" s="114">
        <f>I7</f>
        <v>1738821.3928571427</v>
      </c>
      <c r="J11" s="114">
        <f t="shared" ref="J11:K11" si="0">J7</f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9" sqref="W9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0.25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0.98</v>
      </c>
      <c r="G9" s="104">
        <f>'Profit and Loss Statement'!F8</f>
        <v>0.98</v>
      </c>
      <c r="H9" s="101">
        <f>'Profit and Loss Statement'!G8</f>
        <v>0.98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0.17534825997446318</v>
      </c>
      <c r="G12" s="101">
        <f>'Profit and Loss Statement'!F28/'Profit and Loss Statement'!F6</f>
        <v>0.19314752674859001</v>
      </c>
      <c r="H12" s="101">
        <f>'Profit and Loss Statement'!G28/'Profit and Loss Statement'!G6</f>
        <v>0.21850120150998878</v>
      </c>
      <c r="I12" s="128"/>
      <c r="J12" s="128"/>
    </row>
    <row r="13" spans="5:10">
      <c r="E13" s="66" t="s">
        <v>92</v>
      </c>
      <c r="F13" s="105">
        <f>'Balance Sheet'!E10/'Balance Sheet'!E15</f>
        <v>1.5100641400070034</v>
      </c>
      <c r="G13" s="105">
        <f>'Balance Sheet'!F10/'Balance Sheet'!F15</f>
        <v>2.0931537095214838</v>
      </c>
      <c r="H13" s="105">
        <f>'Balance Sheet'!G10/'Balance Sheet'!G15</f>
        <v>2.9844147247152089</v>
      </c>
      <c r="I13" s="129"/>
      <c r="J13" s="129"/>
    </row>
    <row r="14" spans="5:10">
      <c r="E14" s="66" t="s">
        <v>93</v>
      </c>
      <c r="F14" s="105">
        <f>'Balance Sheet'!E17/'Balance Sheet'!E15</f>
        <v>0.51006414000700329</v>
      </c>
      <c r="G14" s="105">
        <f>'Balance Sheet'!F17/'Balance Sheet'!F15</f>
        <v>1.0931537095214841</v>
      </c>
      <c r="H14" s="105">
        <f>'Balance Sheet'!G17/'Balance Sheet'!G15</f>
        <v>1.9844147247152084</v>
      </c>
      <c r="I14" s="129"/>
      <c r="J14" s="129"/>
    </row>
    <row r="15" spans="5:10">
      <c r="E15" s="66" t="s">
        <v>94</v>
      </c>
      <c r="F15" s="105">
        <f>'Balance Sheet'!E10/'Balance Sheet'!E17</f>
        <v>2.9605377472454144</v>
      </c>
      <c r="G15" s="105">
        <f>'Balance Sheet'!F10/'Balance Sheet'!F17</f>
        <v>1.9147844363422037</v>
      </c>
      <c r="H15" s="105">
        <f>'Balance Sheet'!G10/'Balance Sheet'!G17</f>
        <v>1.5039269198849119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0.41042181729841426</v>
      </c>
      <c r="G18" s="105">
        <f>'Balance Sheet'!F7/'Balance Sheet'!F10</f>
        <v>0.41809877988802735</v>
      </c>
      <c r="H18" s="105">
        <f>'Balance Sheet'!G7/'Balance Sheet'!G10</f>
        <v>0.46349663597969254</v>
      </c>
      <c r="I18" s="129"/>
      <c r="J18" s="129"/>
    </row>
    <row r="19" spans="5:10">
      <c r="E19" s="66" t="s">
        <v>96</v>
      </c>
      <c r="F19" s="105">
        <f>'Balance Sheet'!E7/'Balance Sheet'!E15</f>
        <v>0.61976326857884134</v>
      </c>
      <c r="G19" s="105">
        <f>'Balance Sheet'!F7/'Balance Sheet'!F15</f>
        <v>0.87514501206903084</v>
      </c>
      <c r="H19" s="105">
        <f>'Balance Sheet'!G7/'Balance Sheet'!G15</f>
        <v>1.3832661852737593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:E29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100000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137</v>
      </c>
      <c r="C6" s="14">
        <v>75000</v>
      </c>
      <c r="G6" s="4" t="str">
        <f>B5</f>
        <v>Senior Management</v>
      </c>
      <c r="H6" s="14">
        <f t="shared" ref="H6:H15" si="0">H18*C5</f>
        <v>100000</v>
      </c>
      <c r="I6" s="14">
        <f t="shared" ref="I6:I15" si="1">D58*I18</f>
        <v>103000</v>
      </c>
      <c r="J6" s="14">
        <f t="shared" ref="J6:J15" si="2">E58*J18</f>
        <v>106090</v>
      </c>
      <c r="M6" s="117"/>
      <c r="N6" s="117"/>
    </row>
    <row r="7" spans="2:14">
      <c r="B7" s="4" t="s">
        <v>138</v>
      </c>
      <c r="C7" s="14">
        <v>85000</v>
      </c>
      <c r="G7" s="4" t="str">
        <f>B6</f>
        <v>Dispatch Manager</v>
      </c>
      <c r="H7" s="14">
        <f t="shared" si="0"/>
        <v>75000</v>
      </c>
      <c r="I7" s="14">
        <f t="shared" si="1"/>
        <v>77250</v>
      </c>
      <c r="J7" s="14">
        <f t="shared" si="2"/>
        <v>79567.5</v>
      </c>
      <c r="M7" s="117"/>
      <c r="N7" s="117"/>
    </row>
    <row r="8" spans="2:14">
      <c r="B8" s="4" t="s">
        <v>123</v>
      </c>
      <c r="C8" s="14">
        <v>40000</v>
      </c>
      <c r="G8" s="4" t="str">
        <f>B7</f>
        <v>Drivers</v>
      </c>
      <c r="H8" s="14">
        <f t="shared" si="0"/>
        <v>340000</v>
      </c>
      <c r="I8" s="14">
        <f t="shared" si="1"/>
        <v>437750</v>
      </c>
      <c r="J8" s="14">
        <f t="shared" si="2"/>
        <v>450882.5</v>
      </c>
      <c r="M8" s="117"/>
      <c r="N8" s="117"/>
    </row>
    <row r="9" spans="2:14">
      <c r="B9" s="4" t="s">
        <v>139</v>
      </c>
      <c r="C9" s="14">
        <v>35000</v>
      </c>
      <c r="G9" s="4" t="str">
        <f>B8</f>
        <v>Administrative Staff</v>
      </c>
      <c r="H9" s="14">
        <f t="shared" si="0"/>
        <v>40000</v>
      </c>
      <c r="I9" s="14">
        <f t="shared" si="1"/>
        <v>41200</v>
      </c>
      <c r="J9" s="14">
        <f t="shared" si="2"/>
        <v>42436</v>
      </c>
      <c r="M9" s="117"/>
      <c r="N9" s="117"/>
    </row>
    <row r="10" spans="2:14">
      <c r="B10" s="4" t="s">
        <v>116</v>
      </c>
      <c r="C10" s="14"/>
      <c r="G10" s="4" t="str">
        <f>B9</f>
        <v>Bookkeeper</v>
      </c>
      <c r="H10" s="14">
        <f t="shared" si="0"/>
        <v>35000</v>
      </c>
      <c r="I10" s="14">
        <f t="shared" si="1"/>
        <v>36050</v>
      </c>
      <c r="J10" s="14">
        <f t="shared" si="2"/>
        <v>37131.5</v>
      </c>
      <c r="M10" s="117"/>
      <c r="N10" s="117"/>
    </row>
    <row r="11" spans="2:14">
      <c r="B11" s="4" t="s">
        <v>124</v>
      </c>
      <c r="C11" s="14"/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125</v>
      </c>
      <c r="C12" s="14"/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126</v>
      </c>
      <c r="C13" s="14"/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120</v>
      </c>
      <c r="C14" s="14"/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590000</v>
      </c>
      <c r="I16" s="9">
        <f t="shared" ref="I16:J16" si="3">SUM(I6:I15)</f>
        <v>695250</v>
      </c>
      <c r="J16" s="9">
        <f t="shared" si="3"/>
        <v>716107.5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Dispatch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Drivers</v>
      </c>
      <c r="H20" s="4">
        <f t="shared" si="4"/>
        <v>4</v>
      </c>
      <c r="I20" s="4">
        <f t="shared" si="5"/>
        <v>5</v>
      </c>
      <c r="J20" s="4">
        <f t="shared" si="6"/>
        <v>5</v>
      </c>
      <c r="M20" s="30"/>
      <c r="N20" s="30"/>
    </row>
    <row r="21" spans="2:20">
      <c r="G21" s="4" t="str">
        <f>G9</f>
        <v>Administrative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Bookkeeper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Dispatch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Drivers</v>
      </c>
      <c r="C26" s="5">
        <v>4</v>
      </c>
      <c r="D26" s="5">
        <v>5</v>
      </c>
      <c r="E26" s="5">
        <v>5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Administrative Staff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Bookkeeper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8</v>
      </c>
      <c r="I28" s="10">
        <f t="shared" ref="I28:J28" si="8">SUM(I18:I27)</f>
        <v>9</v>
      </c>
      <c r="J28" s="10">
        <f t="shared" si="8"/>
        <v>9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117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118</v>
      </c>
      <c r="C31" s="5"/>
      <c r="D31" s="5"/>
      <c r="E31" s="5"/>
      <c r="L31" s="112" t="str">
        <f>G6</f>
        <v>Senior Management</v>
      </c>
      <c r="M31" s="113">
        <f>J6/$J$16</f>
        <v>0.14814814814814814</v>
      </c>
      <c r="O31" s="115"/>
      <c r="P31" s="115"/>
      <c r="Q31" s="115"/>
      <c r="R31" s="115"/>
      <c r="S31" s="115"/>
      <c r="T31" s="115"/>
    </row>
    <row r="32" spans="2:20">
      <c r="B32" s="15" t="s">
        <v>119</v>
      </c>
      <c r="C32" s="5"/>
      <c r="D32" s="5"/>
      <c r="E32" s="5"/>
      <c r="F32" s="30"/>
      <c r="G32" s="30"/>
      <c r="L32" s="112" t="str">
        <f>G7</f>
        <v>Dispatch Manager</v>
      </c>
      <c r="M32" s="113">
        <f>J7/$J$16</f>
        <v>0.1111111111111111</v>
      </c>
      <c r="O32" s="115"/>
      <c r="P32" s="115"/>
      <c r="Q32" s="115"/>
      <c r="T32" s="115"/>
    </row>
    <row r="33" spans="2:20">
      <c r="B33" s="15" t="s">
        <v>120</v>
      </c>
      <c r="C33" s="5"/>
      <c r="D33" s="5"/>
      <c r="E33" s="5"/>
      <c r="F33" s="30"/>
      <c r="G33" s="30"/>
      <c r="L33" s="112" t="str">
        <f>G8</f>
        <v>Drivers</v>
      </c>
      <c r="M33" s="113">
        <f>J8/$J$16</f>
        <v>0.62962962962962965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Administrative Staff</v>
      </c>
      <c r="M34" s="113">
        <f>J9/$J$16</f>
        <v>5.9259259259259262E-2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Bookkeeper</v>
      </c>
      <c r="M35" s="113">
        <f>J10/$J$16</f>
        <v>5.185185185185185E-2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100000</v>
      </c>
      <c r="D58" s="14">
        <f>C58*(1+$C$53)</f>
        <v>103000</v>
      </c>
      <c r="E58" s="14">
        <f>D58*(1+$C$53)</f>
        <v>106090</v>
      </c>
      <c r="F58" s="14">
        <f>E58*(1+$C$53)</f>
        <v>109272.7</v>
      </c>
      <c r="G58" s="14">
        <f>F58*(1+$C$53)</f>
        <v>112550.88099999999</v>
      </c>
    </row>
    <row r="59" spans="2:7">
      <c r="B59" s="4" t="str">
        <f t="shared" ref="B59:C67" si="9">B6</f>
        <v>Dispatch Manager</v>
      </c>
      <c r="C59" s="14">
        <f t="shared" si="9"/>
        <v>75000</v>
      </c>
      <c r="D59" s="14">
        <f t="shared" ref="D59:G59" si="10">C59*(1+$C$53)</f>
        <v>77250</v>
      </c>
      <c r="E59" s="14">
        <f t="shared" si="10"/>
        <v>79567.5</v>
      </c>
      <c r="F59" s="14">
        <f t="shared" si="10"/>
        <v>81954.525000000009</v>
      </c>
      <c r="G59" s="14">
        <f t="shared" si="10"/>
        <v>84413.16075000001</v>
      </c>
    </row>
    <row r="60" spans="2:7">
      <c r="B60" s="4" t="str">
        <f t="shared" si="9"/>
        <v>Drivers</v>
      </c>
      <c r="C60" s="14">
        <f t="shared" si="9"/>
        <v>85000</v>
      </c>
      <c r="D60" s="14">
        <f t="shared" ref="D60:G60" si="11">C60*(1+$C$53)</f>
        <v>87550</v>
      </c>
      <c r="E60" s="14">
        <f t="shared" si="11"/>
        <v>90176.5</v>
      </c>
      <c r="F60" s="14">
        <f t="shared" si="11"/>
        <v>92881.794999999998</v>
      </c>
      <c r="G60" s="14">
        <f t="shared" si="11"/>
        <v>95668.248850000004</v>
      </c>
    </row>
    <row r="61" spans="2:7">
      <c r="B61" s="4" t="str">
        <f t="shared" si="9"/>
        <v>Administrative Staff</v>
      </c>
      <c r="C61" s="14">
        <f t="shared" si="9"/>
        <v>40000</v>
      </c>
      <c r="D61" s="14">
        <f t="shared" ref="D61:G61" si="12">C61*(1+$C$53)</f>
        <v>41200</v>
      </c>
      <c r="E61" s="14">
        <f t="shared" si="12"/>
        <v>42436</v>
      </c>
      <c r="F61" s="14">
        <f t="shared" si="12"/>
        <v>43709.08</v>
      </c>
      <c r="G61" s="14">
        <f t="shared" si="12"/>
        <v>45020.352400000003</v>
      </c>
    </row>
    <row r="62" spans="2:7">
      <c r="B62" s="4" t="str">
        <f t="shared" si="9"/>
        <v>Bookkeeper</v>
      </c>
      <c r="C62" s="14">
        <f t="shared" si="9"/>
        <v>35000</v>
      </c>
      <c r="D62" s="14">
        <f t="shared" ref="D62:G62" si="13">C62*(1+$C$53)</f>
        <v>36050</v>
      </c>
      <c r="E62" s="14">
        <f t="shared" si="13"/>
        <v>37131.5</v>
      </c>
      <c r="F62" s="14">
        <f t="shared" si="13"/>
        <v>38245.445</v>
      </c>
      <c r="G62" s="14">
        <f t="shared" si="13"/>
        <v>39392.808349999999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K27" sqref="K27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0.25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Transportation Fees</v>
      </c>
      <c r="F6" s="94">
        <f>SUM(Inputs!C32:N32)</f>
        <v>1740000</v>
      </c>
      <c r="G6" s="94">
        <f t="shared" ref="G6:H15" si="0">F6*(1+G$5)</f>
        <v>2175000</v>
      </c>
      <c r="H6" s="94">
        <f t="shared" si="0"/>
        <v>2501250</v>
      </c>
      <c r="I6" s="127"/>
      <c r="J6" s="94" t="str">
        <f>E6</f>
        <v>Transportation Fees</v>
      </c>
      <c r="K6" s="143">
        <f>F6/$F$16</f>
        <v>0.95238095238095233</v>
      </c>
      <c r="L6" s="143">
        <f>G6/$G$16</f>
        <v>0.95238095238095233</v>
      </c>
      <c r="M6" s="143">
        <f>H6/$H$16</f>
        <v>0.95238095238095233</v>
      </c>
    </row>
    <row r="7" spans="5:13">
      <c r="E7" s="94" t="str">
        <f>Inputs!B6</f>
        <v>Ancillary Fees</v>
      </c>
      <c r="F7" s="94">
        <f>SUM(Inputs!C33:N33)</f>
        <v>87000</v>
      </c>
      <c r="G7" s="94">
        <f t="shared" si="0"/>
        <v>108750</v>
      </c>
      <c r="H7" s="94">
        <f t="shared" si="0"/>
        <v>125062.49999999999</v>
      </c>
      <c r="I7" s="127"/>
      <c r="J7" s="94" t="str">
        <f t="shared" ref="J7:J15" si="1">E7</f>
        <v>Ancillary Fees</v>
      </c>
      <c r="K7" s="143">
        <f t="shared" ref="K7:K15" si="2">F7/$F$16</f>
        <v>4.7619047619047616E-2</v>
      </c>
      <c r="L7" s="143">
        <f t="shared" ref="L7:L15" si="3">G7/$G$16</f>
        <v>4.7619047619047616E-2</v>
      </c>
      <c r="M7" s="143">
        <f t="shared" ref="M7:M15" si="4">H7/$H$16</f>
        <v>4.7619047619047616E-2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1827000</v>
      </c>
      <c r="G16" s="99">
        <f>SUM(G6:G15)</f>
        <v>2283750</v>
      </c>
      <c r="H16" s="99">
        <f>SUM(H6:H15)</f>
        <v>2626312.5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100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0.25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Transportation Fees</v>
      </c>
      <c r="F21" s="94">
        <f>SUM(Inputs!C51:N51)</f>
        <v>34800</v>
      </c>
      <c r="G21" s="94">
        <f t="shared" ref="G21:H30" si="5">F21*(1+G$20)</f>
        <v>43500</v>
      </c>
      <c r="H21" s="94">
        <f t="shared" si="5"/>
        <v>50024.999999999993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Ancillary Fees</v>
      </c>
      <c r="F22" s="94">
        <f>SUM(Inputs!C52:N52)</f>
        <v>1740</v>
      </c>
      <c r="G22" s="94">
        <f t="shared" si="5"/>
        <v>2175</v>
      </c>
      <c r="H22" s="94">
        <f t="shared" si="5"/>
        <v>2501.25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36540</v>
      </c>
      <c r="G31" s="100">
        <f>SUM(G21:G30)</f>
        <v>45675</v>
      </c>
      <c r="H31" s="100">
        <f>SUM(H21:H30)</f>
        <v>52526.249999999993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D21" sqref="D21"/>
    </sheetView>
  </sheetViews>
  <sheetFormatPr defaultRowHeight="15"/>
  <cols>
    <col min="4" max="4" width="41.28515625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130</v>
      </c>
      <c r="E6" s="6">
        <v>25000</v>
      </c>
    </row>
    <row r="7" spans="4:5">
      <c r="D7" s="21" t="s">
        <v>131</v>
      </c>
      <c r="E7" s="6">
        <v>285000</v>
      </c>
    </row>
    <row r="8" spans="4:5">
      <c r="D8" s="21" t="s">
        <v>0</v>
      </c>
      <c r="E8" s="6">
        <v>40000</v>
      </c>
    </row>
    <row r="9" spans="4:5">
      <c r="D9" s="21" t="s">
        <v>132</v>
      </c>
      <c r="E9" s="6">
        <v>25000</v>
      </c>
    </row>
    <row r="10" spans="4:5">
      <c r="D10" s="21" t="s">
        <v>1</v>
      </c>
      <c r="E10" s="6">
        <v>15000</v>
      </c>
    </row>
    <row r="11" spans="4:5">
      <c r="D11" s="21" t="s">
        <v>133</v>
      </c>
      <c r="E11" s="6">
        <v>10000</v>
      </c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400000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127</v>
      </c>
      <c r="E22" s="14">
        <v>350000</v>
      </c>
    </row>
    <row r="23" spans="4:5">
      <c r="D23" s="4" t="s">
        <v>99</v>
      </c>
      <c r="E23" s="14">
        <f>SUM(E21:E22)</f>
        <v>400000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3" workbookViewId="0">
      <selection activeCell="P32" sqref="P32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1827000</v>
      </c>
      <c r="F6" s="69">
        <f>'Revenue Overview'!G16</f>
        <v>2283750</v>
      </c>
      <c r="G6" s="81">
        <f>'Revenue Overview'!H16</f>
        <v>2626312.5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36540</v>
      </c>
      <c r="F7" s="71">
        <f>'Revenue Overview'!G31</f>
        <v>45675</v>
      </c>
      <c r="G7" s="80">
        <f>'Revenue Overview'!H31</f>
        <v>52526.249999999993</v>
      </c>
      <c r="H7" s="136"/>
      <c r="I7" s="136"/>
      <c r="J7" s="115"/>
      <c r="K7" s="112" t="s">
        <v>51</v>
      </c>
      <c r="L7" s="114">
        <f>E6</f>
        <v>1827000</v>
      </c>
      <c r="M7" s="114">
        <f>F6</f>
        <v>2283750</v>
      </c>
      <c r="N7" s="114">
        <f>G6</f>
        <v>2626312.5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0.98</v>
      </c>
      <c r="F8" s="73">
        <f t="shared" ref="F8:G8" si="0">1-(F7/F6)</f>
        <v>0.98</v>
      </c>
      <c r="G8" s="133">
        <f t="shared" si="0"/>
        <v>0.98</v>
      </c>
      <c r="H8" s="138"/>
      <c r="I8" s="138"/>
      <c r="J8" s="115"/>
      <c r="K8" s="112" t="s">
        <v>76</v>
      </c>
      <c r="L8" s="114">
        <f>E6</f>
        <v>1827000</v>
      </c>
      <c r="M8" s="114">
        <f>F6</f>
        <v>2283750</v>
      </c>
      <c r="N8" s="114">
        <f>G6</f>
        <v>2626312.5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1790460</v>
      </c>
      <c r="F10" s="76">
        <f t="shared" ref="F10:G10" si="1">F6-F7</f>
        <v>2238075</v>
      </c>
      <c r="G10" s="84">
        <f t="shared" si="1"/>
        <v>2573786.25</v>
      </c>
      <c r="H10" s="135"/>
      <c r="I10" s="135"/>
      <c r="J10" s="115"/>
      <c r="K10" s="112" t="s">
        <v>47</v>
      </c>
      <c r="L10" s="114">
        <f>E23</f>
        <v>501365.10000000009</v>
      </c>
      <c r="M10" s="114">
        <f>F23</f>
        <v>677038.39999999991</v>
      </c>
      <c r="N10" s="114">
        <f>G23</f>
        <v>869741.28500000015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501365.10000000009</v>
      </c>
      <c r="M11" s="114">
        <f t="shared" ref="M11:N11" si="2">M10</f>
        <v>677038.39999999991</v>
      </c>
      <c r="N11" s="114">
        <f t="shared" si="2"/>
        <v>869741.28500000015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590000</v>
      </c>
      <c r="F13" s="78">
        <f>'Personnel - Editable'!I16</f>
        <v>695250</v>
      </c>
      <c r="G13" s="78">
        <f>'Personnel - Editable'!J16</f>
        <v>716107.5</v>
      </c>
      <c r="H13" s="136"/>
      <c r="I13" s="136"/>
      <c r="J13" s="115"/>
      <c r="K13" s="112" t="s">
        <v>75</v>
      </c>
      <c r="L13" s="114">
        <f>E21</f>
        <v>1289094.8999999999</v>
      </c>
      <c r="M13" s="114">
        <f>F21</f>
        <v>1561036.6</v>
      </c>
      <c r="N13" s="114">
        <f>G21</f>
        <v>1704044.9649999999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25000</v>
      </c>
      <c r="F14" s="80">
        <f>Inputs!D18</f>
        <v>25750</v>
      </c>
      <c r="G14" s="80">
        <f>Inputs!E18</f>
        <v>26522.5</v>
      </c>
      <c r="H14" s="136"/>
      <c r="I14" s="136"/>
      <c r="J14" s="115"/>
      <c r="K14" s="112" t="s">
        <v>78</v>
      </c>
      <c r="L14" s="114">
        <f>E21</f>
        <v>1289094.8999999999</v>
      </c>
      <c r="M14" s="114">
        <f>F21</f>
        <v>1561036.6</v>
      </c>
      <c r="N14" s="114">
        <f>G21</f>
        <v>1704044.9649999999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28683.899999999998</v>
      </c>
      <c r="F15" s="78">
        <f>Inputs!D19</f>
        <v>35854.875</v>
      </c>
      <c r="G15" s="78">
        <f>Inputs!E19</f>
        <v>41233.106249999997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Fuel Costs</v>
      </c>
      <c r="E16" s="80">
        <f>Inputs!C20</f>
        <v>456750</v>
      </c>
      <c r="F16" s="80">
        <f>Inputs!D20</f>
        <v>570937.5</v>
      </c>
      <c r="G16" s="80">
        <f>Inputs!E20</f>
        <v>656578.125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73080</v>
      </c>
      <c r="F17" s="78">
        <f>Inputs!D21</f>
        <v>91350</v>
      </c>
      <c r="G17" s="78">
        <f>Inputs!E21</f>
        <v>105052.5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Maintenance</v>
      </c>
      <c r="E18" s="80">
        <f>Inputs!C22</f>
        <v>63945.000000000007</v>
      </c>
      <c r="F18" s="80">
        <f>Inputs!D22</f>
        <v>79931.250000000015</v>
      </c>
      <c r="G18" s="80">
        <f>Inputs!E22</f>
        <v>91920.937500000015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6501</v>
      </c>
      <c r="F19" s="78">
        <f>Inputs!D23</f>
        <v>8776.35</v>
      </c>
      <c r="G19" s="78">
        <f>Inputs!E23</f>
        <v>11848.072500000002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45135</v>
      </c>
      <c r="F20" s="80">
        <f>F13*'Tax Assumptions '!G9</f>
        <v>53186.625</v>
      </c>
      <c r="G20" s="80">
        <f>G13*'Tax Assumptions '!H9</f>
        <v>54782.223749999997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1289094.8999999999</v>
      </c>
      <c r="F21" s="81">
        <f t="shared" ref="F21:G21" si="3">SUM(F13:F20)</f>
        <v>1561036.6</v>
      </c>
      <c r="G21" s="81">
        <f t="shared" si="3"/>
        <v>1704044.9649999999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501365.10000000009</v>
      </c>
      <c r="F23" s="83">
        <f t="shared" ref="F23:G23" si="4">F10-F21</f>
        <v>677038.39999999991</v>
      </c>
      <c r="G23" s="83">
        <f t="shared" si="4"/>
        <v>869741.28500000015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114414.73963333722</v>
      </c>
      <c r="F24" s="78">
        <f>(F23-F26-F27)*'Tax Assumptions '!G7</f>
        <v>157535.95150431871</v>
      </c>
      <c r="G24" s="78">
        <f>(G23-G26-G27)*'Tax Assumptions '!H7</f>
        <v>204947.29885382229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101</v>
      </c>
      <c r="E25" s="80">
        <f>(E23-E26-E27)*'Tax Assumptions '!F8</f>
        <v>22882.947926667446</v>
      </c>
      <c r="F25" s="80">
        <f>(F23-F26-F27)*'Tax Assumptions '!G8</f>
        <v>31507.190300863746</v>
      </c>
      <c r="G25" s="80">
        <f>(G23-G26-G27)*'Tax Assumptions '!H8</f>
        <v>40989.459770764457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23706.141466651236</v>
      </c>
      <c r="F26" s="78">
        <f>SUM('Loan Amortization Table'!D26:D37)</f>
        <v>21894.593982725077</v>
      </c>
      <c r="G26" s="78">
        <f>SUM('Loan Amortization Table'!D38:D49)</f>
        <v>19952.08958471099</v>
      </c>
      <c r="H26" s="127"/>
      <c r="I26" s="127"/>
    </row>
    <row r="27" spans="4:21">
      <c r="D27" s="70" t="s">
        <v>54</v>
      </c>
      <c r="E27" s="80">
        <v>20000</v>
      </c>
      <c r="F27" s="80">
        <v>25000</v>
      </c>
      <c r="G27" s="80">
        <v>30000</v>
      </c>
      <c r="H27" s="127"/>
      <c r="I27" s="127"/>
    </row>
    <row r="28" spans="4:21">
      <c r="D28" s="82" t="s">
        <v>17</v>
      </c>
      <c r="E28" s="83">
        <f>E23-SUM(E24:E27)</f>
        <v>320361.27097334422</v>
      </c>
      <c r="F28" s="83">
        <f t="shared" ref="F28:G28" si="5">F23-SUM(F24:F27)</f>
        <v>441100.66421209241</v>
      </c>
      <c r="G28" s="83">
        <f t="shared" si="5"/>
        <v>573852.4367907024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1827000</v>
      </c>
      <c r="F32" s="69">
        <f t="shared" ref="F32:G32" si="6">F6</f>
        <v>2283750</v>
      </c>
      <c r="G32" s="81">
        <f t="shared" si="6"/>
        <v>2626312.5</v>
      </c>
      <c r="H32" s="131"/>
      <c r="I32" s="131"/>
    </row>
    <row r="33" spans="4:13">
      <c r="D33" s="70" t="s">
        <v>52</v>
      </c>
      <c r="E33" s="71">
        <f>E7</f>
        <v>36540</v>
      </c>
      <c r="F33" s="71">
        <f t="shared" ref="F33:G33" si="7">F7</f>
        <v>45675</v>
      </c>
      <c r="G33" s="80">
        <f t="shared" si="7"/>
        <v>52526.249999999993</v>
      </c>
      <c r="H33" s="127"/>
      <c r="I33" s="127"/>
    </row>
    <row r="34" spans="4:13">
      <c r="D34" s="68" t="s">
        <v>10</v>
      </c>
      <c r="E34" s="69">
        <f>E10</f>
        <v>1790460</v>
      </c>
      <c r="F34" s="69">
        <f t="shared" ref="F34:G34" si="8">F10</f>
        <v>2238075</v>
      </c>
      <c r="G34" s="81">
        <f t="shared" si="8"/>
        <v>2573786.25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1289094.8999999999</v>
      </c>
      <c r="F35" s="84">
        <f t="shared" ref="F35:G35" si="9">F21</f>
        <v>1561036.6</v>
      </c>
      <c r="G35" s="84">
        <f t="shared" si="9"/>
        <v>1704044.9649999999</v>
      </c>
      <c r="H35" s="131"/>
      <c r="I35" s="131"/>
    </row>
    <row r="36" spans="4:13">
      <c r="D36" s="82" t="s">
        <v>47</v>
      </c>
      <c r="E36" s="83">
        <f>E23</f>
        <v>501365.10000000009</v>
      </c>
      <c r="F36" s="83">
        <f t="shared" ref="F36:G36" si="10">F23</f>
        <v>677038.39999999991</v>
      </c>
      <c r="G36" s="83">
        <f t="shared" si="10"/>
        <v>869741.28500000015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11" sqref="U11"/>
    </sheetView>
  </sheetViews>
  <sheetFormatPr defaultRowHeight="15"/>
  <cols>
    <col min="4" max="4" width="25.570312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340361.27097334422</v>
      </c>
      <c r="F6" s="81">
        <f>'Profit and Loss Statement'!F28+'Profit and Loss Statement'!F27</f>
        <v>466100.66421209241</v>
      </c>
      <c r="G6" s="81">
        <f>'Profit and Loss Statement'!G28+'Profit and Loss Statement'!G27</f>
        <v>603852.4367907024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350000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2640</v>
      </c>
      <c r="F11" s="78">
        <f>E11*1.02</f>
        <v>2692.8</v>
      </c>
      <c r="G11" s="78">
        <f>F11*1.02</f>
        <v>2746.6560000000004</v>
      </c>
      <c r="H11" s="127"/>
      <c r="I11" s="127"/>
    </row>
    <row r="12" spans="4:9">
      <c r="D12" s="75" t="s">
        <v>23</v>
      </c>
      <c r="E12" s="89">
        <f>SUM(E9:E11)</f>
        <v>402640</v>
      </c>
      <c r="F12" s="89">
        <f t="shared" ref="F12:G12" si="0">SUM(F9:F11)</f>
        <v>2692.8</v>
      </c>
      <c r="G12" s="89">
        <f t="shared" si="0"/>
        <v>2746.6560000000004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743001.27097334422</v>
      </c>
      <c r="F15" s="90">
        <f t="shared" ref="F15:G15" si="1">F12+F6</f>
        <v>468793.4642120924</v>
      </c>
      <c r="G15" s="90">
        <f t="shared" si="1"/>
        <v>606599.09279070236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25059.419805170863</v>
      </c>
      <c r="F18" s="80">
        <f>SUM('Loan Amortization Table'!C26:C37)</f>
        <v>26870.967289097021</v>
      </c>
      <c r="G18" s="80">
        <f>SUM('Loan Amortization Table'!C38:C49)</f>
        <v>28813.471687111116</v>
      </c>
      <c r="H18" s="127"/>
      <c r="I18" s="127"/>
    </row>
    <row r="19" spans="4:9">
      <c r="D19" s="72" t="s">
        <v>25</v>
      </c>
      <c r="E19" s="78">
        <f>E11*0.7</f>
        <v>1847.9999999999998</v>
      </c>
      <c r="F19" s="78">
        <f t="shared" ref="F19:G19" si="2">F11*0.7</f>
        <v>1884.96</v>
      </c>
      <c r="G19" s="78">
        <f t="shared" si="2"/>
        <v>1922.6592000000001</v>
      </c>
      <c r="H19" s="127"/>
      <c r="I19" s="127"/>
    </row>
    <row r="20" spans="4:9">
      <c r="D20" s="70" t="s">
        <v>33</v>
      </c>
      <c r="E20" s="80">
        <f>'Use of Funds'!E6+'Use of Funds'!E7</f>
        <v>310000</v>
      </c>
      <c r="F20" s="80">
        <f>100000</f>
        <v>100000</v>
      </c>
      <c r="G20" s="80">
        <v>100000</v>
      </c>
      <c r="H20" s="127"/>
      <c r="I20" s="127"/>
    </row>
    <row r="21" spans="4:9">
      <c r="D21" s="72" t="s">
        <v>32</v>
      </c>
      <c r="E21" s="78">
        <f>E6*0.6</f>
        <v>204216.76258400653</v>
      </c>
      <c r="F21" s="78">
        <f t="shared" ref="F21:G21" si="3">F6*0.6</f>
        <v>279660.39852725546</v>
      </c>
      <c r="G21" s="78">
        <f t="shared" si="3"/>
        <v>362311.4620744214</v>
      </c>
      <c r="H21" s="127"/>
      <c r="I21" s="127"/>
    </row>
    <row r="22" spans="4:9">
      <c r="D22" s="75" t="s">
        <v>26</v>
      </c>
      <c r="E22" s="84">
        <f>SUM(E18:E21)</f>
        <v>541124.18238917738</v>
      </c>
      <c r="F22" s="84">
        <f t="shared" ref="F22:G22" si="4">SUM(F18:F21)</f>
        <v>408416.3258163525</v>
      </c>
      <c r="G22" s="84">
        <f t="shared" si="4"/>
        <v>493047.59296153253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201877.08858416684</v>
      </c>
      <c r="F24" s="91">
        <f t="shared" ref="F24:G24" si="5">F15-F22</f>
        <v>60377.138395739894</v>
      </c>
      <c r="G24" s="91">
        <f t="shared" si="5"/>
        <v>113551.49982916983</v>
      </c>
      <c r="H24" s="132"/>
      <c r="I24" s="132"/>
    </row>
    <row r="25" spans="4:9">
      <c r="D25" s="82" t="s">
        <v>6</v>
      </c>
      <c r="E25" s="91">
        <f>E24</f>
        <v>201877.08858416684</v>
      </c>
      <c r="F25" s="91">
        <f>E25+F24</f>
        <v>262254.22697990673</v>
      </c>
      <c r="G25" s="91">
        <f>F25+G24</f>
        <v>375805.72680907656</v>
      </c>
      <c r="H25" s="132"/>
      <c r="I25" s="132"/>
    </row>
    <row r="28" spans="4:9">
      <c r="D28" s="112" t="s">
        <v>79</v>
      </c>
      <c r="E28" s="114">
        <f>E6</f>
        <v>340361.27097334422</v>
      </c>
      <c r="F28" s="114">
        <f t="shared" ref="F28:G28" si="6">F6</f>
        <v>466100.66421209241</v>
      </c>
      <c r="G28" s="114">
        <f t="shared" si="6"/>
        <v>603852.4367907024</v>
      </c>
      <c r="H28" s="1"/>
      <c r="I28" s="1"/>
    </row>
    <row r="29" spans="4:9">
      <c r="D29" s="112" t="s">
        <v>80</v>
      </c>
      <c r="E29" s="114">
        <f>E18</f>
        <v>25059.419805170863</v>
      </c>
      <c r="F29" s="114">
        <f t="shared" ref="F29:G29" si="7">F18</f>
        <v>26870.967289097021</v>
      </c>
      <c r="G29" s="114">
        <f t="shared" si="7"/>
        <v>28813.471687111116</v>
      </c>
      <c r="H29" s="1"/>
      <c r="I29" s="1"/>
    </row>
    <row r="30" spans="4:9">
      <c r="D30" s="112" t="s">
        <v>81</v>
      </c>
      <c r="E30" s="114">
        <f>E21</f>
        <v>204216.76258400653</v>
      </c>
      <c r="F30" s="114">
        <f t="shared" ref="F30:G30" si="8">F21</f>
        <v>279660.39852725546</v>
      </c>
      <c r="G30" s="114">
        <f t="shared" si="8"/>
        <v>362311.4620744214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14" sqref="U14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201877.08858416684</v>
      </c>
      <c r="F7" s="78">
        <f>'Cash Flow Analysis'!F25</f>
        <v>262254.22697990673</v>
      </c>
      <c r="G7" s="78">
        <f>'Cash Flow Analysis'!G25</f>
        <v>375805.72680907656</v>
      </c>
      <c r="H7" s="127"/>
      <c r="I7" s="127"/>
    </row>
    <row r="8" spans="4:9">
      <c r="D8" s="66" t="s">
        <v>121</v>
      </c>
      <c r="E8" s="94">
        <f>'Cash Flow Analysis'!E20</f>
        <v>310000</v>
      </c>
      <c r="F8" s="94">
        <f>E8+'Cash Flow Analysis'!F20</f>
        <v>410000</v>
      </c>
      <c r="G8" s="94">
        <f>F8+'Cash Flow Analysis'!G20</f>
        <v>510000</v>
      </c>
      <c r="H8" s="127"/>
      <c r="I8" s="127"/>
    </row>
    <row r="9" spans="4:9">
      <c r="D9" s="72" t="s">
        <v>48</v>
      </c>
      <c r="E9" s="87">
        <f>-'Profit and Loss Statement'!E27</f>
        <v>-20000</v>
      </c>
      <c r="F9" s="87">
        <f>E9-'Profit and Loss Statement'!F27</f>
        <v>-45000</v>
      </c>
      <c r="G9" s="87">
        <f>F9-'Profit and Loss Statement'!G27</f>
        <v>-75000</v>
      </c>
      <c r="H9" s="130"/>
      <c r="I9" s="130"/>
    </row>
    <row r="10" spans="4:9">
      <c r="D10" s="95" t="s">
        <v>7</v>
      </c>
      <c r="E10" s="96">
        <f>SUM(E7:E9)</f>
        <v>491877.08858416684</v>
      </c>
      <c r="F10" s="96">
        <f t="shared" ref="F10:G10" si="0">SUM(F7:F9)</f>
        <v>627254.22697990667</v>
      </c>
      <c r="G10" s="96">
        <f t="shared" si="0"/>
        <v>810805.7268090765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792.00000000000023</v>
      </c>
      <c r="F13" s="78">
        <f>E13+('Cash Flow Analysis'!F11-'Cash Flow Analysis'!F19)</f>
        <v>1599.8400000000004</v>
      </c>
      <c r="G13" s="78">
        <f>F13+('Cash Flow Analysis'!G11-'Cash Flow Analysis'!G19)</f>
        <v>2423.8368000000009</v>
      </c>
      <c r="H13" s="127"/>
      <c r="I13" s="127"/>
    </row>
    <row r="14" spans="4:9">
      <c r="D14" s="66" t="s">
        <v>73</v>
      </c>
      <c r="E14" s="94">
        <f>'Loan Amortization Table'!E25</f>
        <v>324940.58019482909</v>
      </c>
      <c r="F14" s="94">
        <f>'Loan Amortization Table'!E37</f>
        <v>298069.61290573201</v>
      </c>
      <c r="G14" s="94">
        <f>'Loan Amortization Table'!E49</f>
        <v>269256.14121862093</v>
      </c>
      <c r="H14" s="127"/>
      <c r="I14" s="127"/>
    </row>
    <row r="15" spans="4:9">
      <c r="D15" s="68" t="s">
        <v>30</v>
      </c>
      <c r="E15" s="81">
        <f>SUM(E13:E14)</f>
        <v>325732.58019482909</v>
      </c>
      <c r="F15" s="81">
        <f t="shared" ref="F15:G15" si="1">SUM(F13:F14)</f>
        <v>299669.45290573203</v>
      </c>
      <c r="G15" s="81">
        <f t="shared" si="1"/>
        <v>271679.97801862092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166144.50838933775</v>
      </c>
      <c r="F17" s="83">
        <f t="shared" ref="F17:G17" si="2">F10-F15</f>
        <v>327584.77407417464</v>
      </c>
      <c r="G17" s="83">
        <f t="shared" si="2"/>
        <v>539125.74879045552</v>
      </c>
      <c r="H17" s="131"/>
      <c r="I17" s="131"/>
    </row>
    <row r="18" spans="4:9">
      <c r="D18" s="82" t="s">
        <v>31</v>
      </c>
      <c r="E18" s="83">
        <f>E15+E17</f>
        <v>491877.08858416684</v>
      </c>
      <c r="F18" s="83">
        <f t="shared" ref="F18:G18" si="3">F15+F17</f>
        <v>627254.22697990667</v>
      </c>
      <c r="G18" s="83">
        <f t="shared" si="3"/>
        <v>810805.7268090765</v>
      </c>
      <c r="H18" s="131"/>
      <c r="I18" s="131"/>
    </row>
    <row r="21" spans="4:9">
      <c r="D21" s="112" t="s">
        <v>82</v>
      </c>
      <c r="E21" s="114">
        <f>E10-1</f>
        <v>491876.08858416684</v>
      </c>
      <c r="F21" s="114">
        <f t="shared" ref="F21:G21" si="4">F10-1</f>
        <v>627253.22697990667</v>
      </c>
      <c r="G21" s="114">
        <f t="shared" si="4"/>
        <v>810804.7268090765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325732.58019482909</v>
      </c>
      <c r="F22" s="114">
        <f t="shared" ref="F22:G22" si="6">F15</f>
        <v>299669.45290573203</v>
      </c>
      <c r="G22" s="114">
        <f t="shared" si="6"/>
        <v>271679.97801862092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166144.50838933775</v>
      </c>
      <c r="F23" s="114">
        <f t="shared" ref="F23:G23" si="8">F17</f>
        <v>327584.77407417464</v>
      </c>
      <c r="G23" s="114">
        <f t="shared" si="8"/>
        <v>539125.74879045552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T12" sqref="T12"/>
    </sheetView>
  </sheetViews>
  <sheetFormatPr defaultRowHeight="15"/>
  <cols>
    <col min="2" max="2" width="29.7109375" customWidth="1"/>
    <col min="3" max="6" width="8.5703125" bestFit="1" customWidth="1"/>
    <col min="7" max="8" width="10.140625" bestFit="1" customWidth="1"/>
    <col min="9" max="9" width="8.5703125" bestFit="1" customWidth="1"/>
    <col min="10" max="10" width="10.85546875" bestFit="1" customWidth="1"/>
    <col min="11" max="11" width="12.28515625" customWidth="1"/>
  </cols>
  <sheetData>
    <row r="4" spans="2:15">
      <c r="B4" s="7" t="s">
        <v>65</v>
      </c>
      <c r="C4" s="3"/>
      <c r="D4" s="3"/>
      <c r="E4" s="3"/>
      <c r="F4" s="3"/>
      <c r="G4" s="3"/>
      <c r="H4" s="3"/>
      <c r="I4" s="3"/>
    </row>
    <row r="5" spans="2:15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15">
      <c r="B6" s="37" t="s">
        <v>51</v>
      </c>
      <c r="C6" s="6">
        <f>Inputs!C42</f>
        <v>152250</v>
      </c>
      <c r="D6" s="6">
        <f>Inputs!D42</f>
        <v>152250</v>
      </c>
      <c r="E6" s="6">
        <f>Inputs!E42</f>
        <v>152250</v>
      </c>
      <c r="F6" s="6">
        <f>Inputs!F42</f>
        <v>152250</v>
      </c>
      <c r="G6" s="6">
        <f>Inputs!G42</f>
        <v>152250</v>
      </c>
      <c r="H6" s="6">
        <f>Inputs!H42</f>
        <v>152250</v>
      </c>
      <c r="I6" s="6">
        <f>Inputs!I42</f>
        <v>152250</v>
      </c>
    </row>
    <row r="7" spans="2:15">
      <c r="B7" s="31" t="s">
        <v>52</v>
      </c>
      <c r="C7" s="6">
        <f>Inputs!C61</f>
        <v>3045</v>
      </c>
      <c r="D7" s="6">
        <f>Inputs!D61</f>
        <v>3045</v>
      </c>
      <c r="E7" s="6">
        <f>Inputs!E61</f>
        <v>3045</v>
      </c>
      <c r="F7" s="6">
        <f>Inputs!F61</f>
        <v>3045</v>
      </c>
      <c r="G7" s="6">
        <f>Inputs!G61</f>
        <v>3045</v>
      </c>
      <c r="H7" s="6">
        <f>Inputs!H61</f>
        <v>3045</v>
      </c>
      <c r="I7" s="6">
        <f>Inputs!I61</f>
        <v>3045</v>
      </c>
      <c r="O7" t="s">
        <v>129</v>
      </c>
    </row>
    <row r="8" spans="2:15">
      <c r="B8" s="29" t="s">
        <v>12</v>
      </c>
      <c r="C8" s="17">
        <f>1-(C7/C6)</f>
        <v>0.98</v>
      </c>
      <c r="D8" s="17">
        <f t="shared" ref="D8:I8" si="1">1-(D7/D6)</f>
        <v>0.98</v>
      </c>
      <c r="E8" s="17">
        <f t="shared" si="1"/>
        <v>0.98</v>
      </c>
      <c r="F8" s="17">
        <f t="shared" si="1"/>
        <v>0.98</v>
      </c>
      <c r="G8" s="17">
        <f t="shared" si="1"/>
        <v>0.98</v>
      </c>
      <c r="H8" s="17">
        <f t="shared" si="1"/>
        <v>0.98</v>
      </c>
      <c r="I8" s="17">
        <f t="shared" si="1"/>
        <v>0.98</v>
      </c>
    </row>
    <row r="9" spans="2:15">
      <c r="B9" s="30"/>
    </row>
    <row r="10" spans="2:15">
      <c r="B10" s="37" t="s">
        <v>10</v>
      </c>
      <c r="C10" s="6">
        <f>C6-C7</f>
        <v>149205</v>
      </c>
      <c r="D10" s="6">
        <f t="shared" ref="D10:I10" si="2">D6-D7</f>
        <v>149205</v>
      </c>
      <c r="E10" s="6">
        <f t="shared" si="2"/>
        <v>149205</v>
      </c>
      <c r="F10" s="6">
        <f t="shared" si="2"/>
        <v>149205</v>
      </c>
      <c r="G10" s="6">
        <f t="shared" si="2"/>
        <v>149205</v>
      </c>
      <c r="H10" s="6">
        <f t="shared" si="2"/>
        <v>149205</v>
      </c>
      <c r="I10" s="6">
        <f t="shared" si="2"/>
        <v>149205</v>
      </c>
    </row>
    <row r="11" spans="2:15">
      <c r="B11" s="30"/>
    </row>
    <row r="12" spans="2:15">
      <c r="B12" s="30" t="s">
        <v>13</v>
      </c>
    </row>
    <row r="13" spans="2:15">
      <c r="B13" s="31" t="s">
        <v>53</v>
      </c>
      <c r="C13" s="6">
        <f>$H$41/12</f>
        <v>49166.666666666664</v>
      </c>
      <c r="D13" s="6">
        <f t="shared" ref="D13:I13" si="3">$H$41/12</f>
        <v>49166.666666666664</v>
      </c>
      <c r="E13" s="6">
        <f t="shared" si="3"/>
        <v>49166.666666666664</v>
      </c>
      <c r="F13" s="6">
        <f t="shared" si="3"/>
        <v>49166.666666666664</v>
      </c>
      <c r="G13" s="6">
        <f t="shared" si="3"/>
        <v>49166.666666666664</v>
      </c>
      <c r="H13" s="6">
        <f t="shared" si="3"/>
        <v>49166.666666666664</v>
      </c>
      <c r="I13" s="6">
        <f t="shared" si="3"/>
        <v>49166.666666666664</v>
      </c>
    </row>
    <row r="14" spans="2:15">
      <c r="B14" s="33" t="str">
        <f>'Profit and Loss Statement'!D14</f>
        <v>Facility Costs</v>
      </c>
      <c r="C14" s="6">
        <f>$H$42/12</f>
        <v>2083.3333333333335</v>
      </c>
      <c r="D14" s="6">
        <f t="shared" ref="D14:I14" si="4">$H$42/12</f>
        <v>2083.3333333333335</v>
      </c>
      <c r="E14" s="6">
        <f t="shared" si="4"/>
        <v>2083.3333333333335</v>
      </c>
      <c r="F14" s="6">
        <f t="shared" si="4"/>
        <v>2083.3333333333335</v>
      </c>
      <c r="G14" s="6">
        <f t="shared" si="4"/>
        <v>2083.3333333333335</v>
      </c>
      <c r="H14" s="6">
        <f t="shared" si="4"/>
        <v>2083.3333333333335</v>
      </c>
      <c r="I14" s="6">
        <f t="shared" si="4"/>
        <v>2083.3333333333335</v>
      </c>
    </row>
    <row r="15" spans="2:15">
      <c r="B15" s="33" t="str">
        <f>'Profit and Loss Statement'!D15</f>
        <v>General and Administrative</v>
      </c>
      <c r="C15" s="6">
        <f>$H$43/12</f>
        <v>2390.3249999999998</v>
      </c>
      <c r="D15" s="6">
        <f t="shared" ref="D15:I15" si="5">$H$43/12</f>
        <v>2390.3249999999998</v>
      </c>
      <c r="E15" s="6">
        <f t="shared" si="5"/>
        <v>2390.3249999999998</v>
      </c>
      <c r="F15" s="6">
        <f t="shared" si="5"/>
        <v>2390.3249999999998</v>
      </c>
      <c r="G15" s="6">
        <f t="shared" si="5"/>
        <v>2390.3249999999998</v>
      </c>
      <c r="H15" s="6">
        <f t="shared" si="5"/>
        <v>2390.3249999999998</v>
      </c>
      <c r="I15" s="6">
        <f t="shared" si="5"/>
        <v>2390.3249999999998</v>
      </c>
    </row>
    <row r="16" spans="2:15">
      <c r="B16" s="33" t="str">
        <f>'Profit and Loss Statement'!D16</f>
        <v>Fuel Costs</v>
      </c>
      <c r="C16" s="6">
        <f>$H$44/12</f>
        <v>38062.5</v>
      </c>
      <c r="D16" s="6">
        <f t="shared" ref="D16:I16" si="6">$H$44/12</f>
        <v>38062.5</v>
      </c>
      <c r="E16" s="6">
        <f t="shared" si="6"/>
        <v>38062.5</v>
      </c>
      <c r="F16" s="6">
        <f t="shared" si="6"/>
        <v>38062.5</v>
      </c>
      <c r="G16" s="6">
        <f t="shared" si="6"/>
        <v>38062.5</v>
      </c>
      <c r="H16" s="6">
        <f t="shared" si="6"/>
        <v>38062.5</v>
      </c>
      <c r="I16" s="6">
        <f t="shared" si="6"/>
        <v>38062.5</v>
      </c>
    </row>
    <row r="17" spans="2:9">
      <c r="B17" s="33" t="str">
        <f>'Profit and Loss Statement'!D17</f>
        <v>Insurance Costs</v>
      </c>
      <c r="C17" s="6">
        <f>$H$45/12</f>
        <v>6090</v>
      </c>
      <c r="D17" s="6">
        <f t="shared" ref="D17:I17" si="7">$H$45/12</f>
        <v>6090</v>
      </c>
      <c r="E17" s="6">
        <f t="shared" si="7"/>
        <v>6090</v>
      </c>
      <c r="F17" s="6">
        <f t="shared" si="7"/>
        <v>6090</v>
      </c>
      <c r="G17" s="6">
        <f t="shared" si="7"/>
        <v>6090</v>
      </c>
      <c r="H17" s="6">
        <f t="shared" si="7"/>
        <v>6090</v>
      </c>
      <c r="I17" s="6">
        <f t="shared" si="7"/>
        <v>6090</v>
      </c>
    </row>
    <row r="18" spans="2:9">
      <c r="B18" s="33" t="str">
        <f>'Profit and Loss Statement'!D18</f>
        <v>Maintenance</v>
      </c>
      <c r="C18" s="6">
        <f>$H$46/12</f>
        <v>5328.7500000000009</v>
      </c>
      <c r="D18" s="6">
        <f t="shared" ref="D18:I18" si="8">$H$46/12</f>
        <v>5328.7500000000009</v>
      </c>
      <c r="E18" s="6">
        <f t="shared" si="8"/>
        <v>5328.7500000000009</v>
      </c>
      <c r="F18" s="6">
        <f t="shared" si="8"/>
        <v>5328.7500000000009</v>
      </c>
      <c r="G18" s="6">
        <f t="shared" si="8"/>
        <v>5328.7500000000009</v>
      </c>
      <c r="H18" s="6">
        <f t="shared" si="8"/>
        <v>5328.7500000000009</v>
      </c>
      <c r="I18" s="6">
        <f t="shared" si="8"/>
        <v>5328.7500000000009</v>
      </c>
    </row>
    <row r="19" spans="2:9">
      <c r="B19" s="33" t="str">
        <f>'Profit and Loss Statement'!D19</f>
        <v>Professional Fees and Licensure</v>
      </c>
      <c r="C19" s="6">
        <f>$H$47/12</f>
        <v>541.75</v>
      </c>
      <c r="D19" s="6">
        <f t="shared" ref="D19:I19" si="9">$H$47/12</f>
        <v>541.75</v>
      </c>
      <c r="E19" s="6">
        <f t="shared" si="9"/>
        <v>541.75</v>
      </c>
      <c r="F19" s="6">
        <f t="shared" si="9"/>
        <v>541.75</v>
      </c>
      <c r="G19" s="6">
        <f t="shared" si="9"/>
        <v>541.75</v>
      </c>
      <c r="H19" s="6">
        <f t="shared" si="9"/>
        <v>541.75</v>
      </c>
      <c r="I19" s="6">
        <f t="shared" si="9"/>
        <v>541.75</v>
      </c>
    </row>
    <row r="20" spans="2:9">
      <c r="B20" s="29" t="s">
        <v>14</v>
      </c>
      <c r="C20" s="6">
        <f>$H$48/12</f>
        <v>3761.25</v>
      </c>
      <c r="D20" s="6">
        <f t="shared" ref="D20:I20" si="10">$H$48/12</f>
        <v>3761.25</v>
      </c>
      <c r="E20" s="6">
        <f t="shared" si="10"/>
        <v>3761.25</v>
      </c>
      <c r="F20" s="6">
        <f t="shared" si="10"/>
        <v>3761.25</v>
      </c>
      <c r="G20" s="6">
        <f t="shared" si="10"/>
        <v>3761.25</v>
      </c>
      <c r="H20" s="6">
        <f t="shared" si="10"/>
        <v>3761.25</v>
      </c>
      <c r="I20" s="6">
        <f t="shared" si="10"/>
        <v>3761.25</v>
      </c>
    </row>
    <row r="21" spans="2:9">
      <c r="B21" s="28" t="s">
        <v>8</v>
      </c>
      <c r="C21" s="6">
        <f>SUM(C13:C20)</f>
        <v>107424.575</v>
      </c>
      <c r="D21" s="6">
        <f t="shared" ref="D21:I21" si="11">SUM(D13:D20)</f>
        <v>107424.575</v>
      </c>
      <c r="E21" s="6">
        <f t="shared" si="11"/>
        <v>107424.575</v>
      </c>
      <c r="F21" s="6">
        <f t="shared" si="11"/>
        <v>107424.575</v>
      </c>
      <c r="G21" s="6">
        <f t="shared" si="11"/>
        <v>107424.575</v>
      </c>
      <c r="H21" s="6">
        <f t="shared" si="11"/>
        <v>107424.575</v>
      </c>
      <c r="I21" s="6">
        <f t="shared" si="11"/>
        <v>107424.575</v>
      </c>
    </row>
    <row r="22" spans="2:9">
      <c r="B22" s="30"/>
    </row>
    <row r="23" spans="2:9">
      <c r="B23" s="24" t="s">
        <v>47</v>
      </c>
      <c r="C23" s="25">
        <f>C10-C21</f>
        <v>41780.425000000003</v>
      </c>
      <c r="D23" s="25">
        <f t="shared" ref="D23:I23" si="12">D10-D21</f>
        <v>41780.425000000003</v>
      </c>
      <c r="E23" s="25">
        <f t="shared" si="12"/>
        <v>41780.425000000003</v>
      </c>
      <c r="F23" s="25">
        <f t="shared" si="12"/>
        <v>41780.425000000003</v>
      </c>
      <c r="G23" s="25">
        <f t="shared" si="12"/>
        <v>41780.425000000003</v>
      </c>
      <c r="H23" s="25">
        <f t="shared" si="12"/>
        <v>41780.425000000003</v>
      </c>
      <c r="I23" s="25">
        <f t="shared" si="12"/>
        <v>41780.425000000003</v>
      </c>
    </row>
    <row r="24" spans="2:9">
      <c r="B24" s="29" t="s">
        <v>15</v>
      </c>
      <c r="C24" s="6">
        <f>(C6/$H$34)*$H$52</f>
        <v>9534.5616361114335</v>
      </c>
      <c r="D24" s="6">
        <f t="shared" ref="D24:I24" si="13">(D6/$H$34)*$H$52</f>
        <v>9534.5616361114335</v>
      </c>
      <c r="E24" s="6">
        <f t="shared" si="13"/>
        <v>9534.5616361114335</v>
      </c>
      <c r="F24" s="6">
        <f t="shared" si="13"/>
        <v>9534.5616361114335</v>
      </c>
      <c r="G24" s="6">
        <f t="shared" si="13"/>
        <v>9534.5616361114335</v>
      </c>
      <c r="H24" s="6">
        <f t="shared" si="13"/>
        <v>9534.5616361114335</v>
      </c>
      <c r="I24" s="6">
        <f t="shared" si="13"/>
        <v>9534.5616361114335</v>
      </c>
    </row>
    <row r="25" spans="2:9">
      <c r="B25" s="29" t="s">
        <v>101</v>
      </c>
      <c r="C25" s="6">
        <f>(C6/$H$34)*$H$53</f>
        <v>1906.9123272222871</v>
      </c>
      <c r="D25" s="6">
        <f t="shared" ref="D25:I25" si="14">(D6/$H$34)*$H$53</f>
        <v>1906.9123272222871</v>
      </c>
      <c r="E25" s="6">
        <f t="shared" si="14"/>
        <v>1906.9123272222871</v>
      </c>
      <c r="F25" s="6">
        <f t="shared" si="14"/>
        <v>1906.9123272222871</v>
      </c>
      <c r="G25" s="6">
        <f t="shared" si="14"/>
        <v>1906.9123272222871</v>
      </c>
      <c r="H25" s="6">
        <f t="shared" si="14"/>
        <v>1906.9123272222871</v>
      </c>
      <c r="I25" s="6">
        <f t="shared" si="14"/>
        <v>1906.9123272222871</v>
      </c>
    </row>
    <row r="26" spans="2:9">
      <c r="B26" s="29" t="s">
        <v>16</v>
      </c>
      <c r="C26" s="6">
        <f>'Loan Amortization Table'!D14</f>
        <v>2041.6666666666667</v>
      </c>
      <c r="D26" s="6">
        <f>'Loan Amortization Table'!D15</f>
        <v>2029.8709077150868</v>
      </c>
      <c r="E26" s="6">
        <f>'Loan Amortization Table'!D16</f>
        <v>2018.006340169622</v>
      </c>
      <c r="F26" s="6">
        <f>'Loan Amortization Table'!D17</f>
        <v>2006.0725626468093</v>
      </c>
      <c r="G26" s="6">
        <f>'Loan Amortization Table'!D18</f>
        <v>1994.0691714217801</v>
      </c>
      <c r="H26" s="6">
        <f>'Loan Amortization Table'!D19</f>
        <v>1981.9957604146045</v>
      </c>
      <c r="I26" s="6">
        <f>'Loan Amortization Table'!D20</f>
        <v>1969.8519211765538</v>
      </c>
    </row>
    <row r="27" spans="2:9">
      <c r="B27" s="29" t="s">
        <v>54</v>
      </c>
      <c r="C27" s="6">
        <f>$H$55/12</f>
        <v>1666.6666666666667</v>
      </c>
      <c r="D27" s="6">
        <f t="shared" ref="D27:I27" si="15">$H$55/12</f>
        <v>1666.6666666666667</v>
      </c>
      <c r="E27" s="6">
        <f t="shared" si="15"/>
        <v>1666.6666666666667</v>
      </c>
      <c r="F27" s="6">
        <f t="shared" si="15"/>
        <v>1666.6666666666667</v>
      </c>
      <c r="G27" s="6">
        <f t="shared" si="15"/>
        <v>1666.6666666666667</v>
      </c>
      <c r="H27" s="6">
        <f t="shared" si="15"/>
        <v>1666.6666666666667</v>
      </c>
      <c r="I27" s="6">
        <f t="shared" si="15"/>
        <v>1666.6666666666667</v>
      </c>
    </row>
    <row r="28" spans="2:9">
      <c r="B28" s="38" t="s">
        <v>17</v>
      </c>
      <c r="C28" s="39">
        <f>C23-SUM(C24:C27)</f>
        <v>26630.617703332951</v>
      </c>
      <c r="D28" s="39">
        <f t="shared" ref="D28:I28" si="16">D23-SUM(D24:D27)</f>
        <v>26642.41346228453</v>
      </c>
      <c r="E28" s="39">
        <f t="shared" si="16"/>
        <v>26654.278029829991</v>
      </c>
      <c r="F28" s="39">
        <f t="shared" si="16"/>
        <v>26666.211807352804</v>
      </c>
      <c r="G28" s="39">
        <f t="shared" si="16"/>
        <v>26678.215198577833</v>
      </c>
      <c r="H28" s="39">
        <f t="shared" si="16"/>
        <v>26690.288609585012</v>
      </c>
      <c r="I28" s="39">
        <f t="shared" si="16"/>
        <v>26702.432448823063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152250</v>
      </c>
      <c r="D34" s="6">
        <f>Inputs!K42</f>
        <v>152250</v>
      </c>
      <c r="E34" s="6">
        <f>Inputs!L42</f>
        <v>152250</v>
      </c>
      <c r="F34" s="6">
        <f>Inputs!M42</f>
        <v>152250</v>
      </c>
      <c r="G34" s="6">
        <f>Inputs!N42</f>
        <v>152250</v>
      </c>
      <c r="H34" s="6">
        <f>'Profit and Loss Statement'!E6</f>
        <v>1827000</v>
      </c>
    </row>
    <row r="35" spans="2:8">
      <c r="B35" s="31" t="s">
        <v>52</v>
      </c>
      <c r="C35" s="6">
        <f>Inputs!J61</f>
        <v>3045</v>
      </c>
      <c r="D35" s="6">
        <f>Inputs!K61</f>
        <v>3045</v>
      </c>
      <c r="E35" s="6">
        <f>Inputs!L61</f>
        <v>3045</v>
      </c>
      <c r="F35" s="6">
        <f>Inputs!M61</f>
        <v>3045</v>
      </c>
      <c r="G35" s="6">
        <f>Inputs!N61</f>
        <v>3045</v>
      </c>
      <c r="H35" s="6">
        <f>'Profit and Loss Statement'!E7</f>
        <v>36540</v>
      </c>
    </row>
    <row r="36" spans="2:8">
      <c r="B36" s="29" t="s">
        <v>12</v>
      </c>
      <c r="C36" s="17">
        <f>1-(C35/C34)</f>
        <v>0.98</v>
      </c>
      <c r="D36" s="17">
        <f t="shared" ref="D36:H36" si="18">1-(D35/D34)</f>
        <v>0.98</v>
      </c>
      <c r="E36" s="17">
        <f t="shared" si="18"/>
        <v>0.98</v>
      </c>
      <c r="F36" s="17">
        <f t="shared" si="18"/>
        <v>0.98</v>
      </c>
      <c r="G36" s="17">
        <f t="shared" si="18"/>
        <v>0.98</v>
      </c>
      <c r="H36" s="17">
        <f t="shared" si="18"/>
        <v>0.98</v>
      </c>
    </row>
    <row r="37" spans="2:8">
      <c r="B37" s="30"/>
    </row>
    <row r="38" spans="2:8">
      <c r="B38" s="37" t="s">
        <v>10</v>
      </c>
      <c r="C38" s="6">
        <f>C34-C35</f>
        <v>149205</v>
      </c>
      <c r="D38" s="6">
        <f t="shared" ref="D38:H38" si="19">D34-D35</f>
        <v>149205</v>
      </c>
      <c r="E38" s="6">
        <f t="shared" si="19"/>
        <v>149205</v>
      </c>
      <c r="F38" s="6">
        <f t="shared" si="19"/>
        <v>149205</v>
      </c>
      <c r="G38" s="6">
        <f t="shared" si="19"/>
        <v>149205</v>
      </c>
      <c r="H38" s="6">
        <f t="shared" si="19"/>
        <v>1790460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49166.666666666664</v>
      </c>
      <c r="D41" s="6">
        <f t="shared" ref="D41:G41" si="20">$H$41/12</f>
        <v>49166.666666666664</v>
      </c>
      <c r="E41" s="6">
        <f t="shared" si="20"/>
        <v>49166.666666666664</v>
      </c>
      <c r="F41" s="6">
        <f t="shared" si="20"/>
        <v>49166.666666666664</v>
      </c>
      <c r="G41" s="6">
        <f t="shared" si="20"/>
        <v>49166.666666666664</v>
      </c>
      <c r="H41" s="6">
        <f>'Profit and Loss Statement'!E13</f>
        <v>590000</v>
      </c>
    </row>
    <row r="42" spans="2:8">
      <c r="B42" s="33" t="str">
        <f>B14</f>
        <v>Facility Costs</v>
      </c>
      <c r="C42" s="6">
        <f>$H$42/12</f>
        <v>2083.3333333333335</v>
      </c>
      <c r="D42" s="6">
        <f t="shared" ref="D42:G42" si="21">$H$42/12</f>
        <v>2083.3333333333335</v>
      </c>
      <c r="E42" s="6">
        <f t="shared" si="21"/>
        <v>2083.3333333333335</v>
      </c>
      <c r="F42" s="6">
        <f t="shared" si="21"/>
        <v>2083.3333333333335</v>
      </c>
      <c r="G42" s="6">
        <f t="shared" si="21"/>
        <v>2083.3333333333335</v>
      </c>
      <c r="H42" s="6">
        <f>'Profit and Loss Statement'!E14</f>
        <v>25000</v>
      </c>
    </row>
    <row r="43" spans="2:8">
      <c r="B43" s="33" t="str">
        <f t="shared" ref="B43:B47" si="22">B15</f>
        <v>General and Administrative</v>
      </c>
      <c r="C43" s="6">
        <f>$H$43/12</f>
        <v>2390.3249999999998</v>
      </c>
      <c r="D43" s="6">
        <f t="shared" ref="D43:G43" si="23">$H$43/12</f>
        <v>2390.3249999999998</v>
      </c>
      <c r="E43" s="6">
        <f t="shared" si="23"/>
        <v>2390.3249999999998</v>
      </c>
      <c r="F43" s="6">
        <f t="shared" si="23"/>
        <v>2390.3249999999998</v>
      </c>
      <c r="G43" s="6">
        <f t="shared" si="23"/>
        <v>2390.3249999999998</v>
      </c>
      <c r="H43" s="6">
        <f>'Profit and Loss Statement'!E15</f>
        <v>28683.899999999998</v>
      </c>
    </row>
    <row r="44" spans="2:8">
      <c r="B44" s="33" t="str">
        <f t="shared" si="22"/>
        <v>Fuel Costs</v>
      </c>
      <c r="C44" s="6">
        <f>$H$44/12</f>
        <v>38062.5</v>
      </c>
      <c r="D44" s="6">
        <f t="shared" ref="D44:G44" si="24">$H$44/12</f>
        <v>38062.5</v>
      </c>
      <c r="E44" s="6">
        <f t="shared" si="24"/>
        <v>38062.5</v>
      </c>
      <c r="F44" s="6">
        <f t="shared" si="24"/>
        <v>38062.5</v>
      </c>
      <c r="G44" s="6">
        <f t="shared" si="24"/>
        <v>38062.5</v>
      </c>
      <c r="H44" s="6">
        <f>'Profit and Loss Statement'!E16</f>
        <v>456750</v>
      </c>
    </row>
    <row r="45" spans="2:8">
      <c r="B45" s="33" t="str">
        <f t="shared" si="22"/>
        <v>Insurance Costs</v>
      </c>
      <c r="C45" s="6">
        <f>$H$45/12</f>
        <v>6090</v>
      </c>
      <c r="D45" s="6">
        <f t="shared" ref="D45:G45" si="25">$H$45/12</f>
        <v>6090</v>
      </c>
      <c r="E45" s="6">
        <f t="shared" si="25"/>
        <v>6090</v>
      </c>
      <c r="F45" s="6">
        <f t="shared" si="25"/>
        <v>6090</v>
      </c>
      <c r="G45" s="6">
        <f t="shared" si="25"/>
        <v>6090</v>
      </c>
      <c r="H45" s="6">
        <f>'Profit and Loss Statement'!E17</f>
        <v>73080</v>
      </c>
    </row>
    <row r="46" spans="2:8">
      <c r="B46" s="33" t="str">
        <f t="shared" si="22"/>
        <v>Maintenance</v>
      </c>
      <c r="C46" s="6">
        <f>$H$46/12</f>
        <v>5328.7500000000009</v>
      </c>
      <c r="D46" s="6">
        <f t="shared" ref="D46:G46" si="26">$H$46/12</f>
        <v>5328.7500000000009</v>
      </c>
      <c r="E46" s="6">
        <f t="shared" si="26"/>
        <v>5328.7500000000009</v>
      </c>
      <c r="F46" s="6">
        <f t="shared" si="26"/>
        <v>5328.7500000000009</v>
      </c>
      <c r="G46" s="6">
        <f t="shared" si="26"/>
        <v>5328.7500000000009</v>
      </c>
      <c r="H46" s="6">
        <f>'Profit and Loss Statement'!E18</f>
        <v>63945.000000000007</v>
      </c>
    </row>
    <row r="47" spans="2:8">
      <c r="B47" s="33" t="str">
        <f t="shared" si="22"/>
        <v>Professional Fees and Licensure</v>
      </c>
      <c r="C47" s="6">
        <f>$H$47/12</f>
        <v>541.75</v>
      </c>
      <c r="D47" s="6">
        <f t="shared" ref="D47:G47" si="27">$H$47/12</f>
        <v>541.75</v>
      </c>
      <c r="E47" s="6">
        <f t="shared" si="27"/>
        <v>541.75</v>
      </c>
      <c r="F47" s="6">
        <f t="shared" si="27"/>
        <v>541.75</v>
      </c>
      <c r="G47" s="6">
        <f t="shared" si="27"/>
        <v>541.75</v>
      </c>
      <c r="H47" s="6">
        <f>'Profit and Loss Statement'!E19</f>
        <v>6501</v>
      </c>
    </row>
    <row r="48" spans="2:8">
      <c r="B48" s="29" t="s">
        <v>14</v>
      </c>
      <c r="C48" s="6">
        <f>$H$48/12</f>
        <v>3761.25</v>
      </c>
      <c r="D48" s="6">
        <f t="shared" ref="D48:G48" si="28">$H$48/12</f>
        <v>3761.25</v>
      </c>
      <c r="E48" s="6">
        <f t="shared" si="28"/>
        <v>3761.25</v>
      </c>
      <c r="F48" s="6">
        <f t="shared" si="28"/>
        <v>3761.25</v>
      </c>
      <c r="G48" s="6">
        <f t="shared" si="28"/>
        <v>3761.25</v>
      </c>
      <c r="H48" s="6">
        <f>'Profit and Loss Statement'!E20</f>
        <v>45135</v>
      </c>
    </row>
    <row r="49" spans="2:15">
      <c r="B49" s="28" t="s">
        <v>8</v>
      </c>
      <c r="C49" s="6">
        <f>SUM(C41:C48)</f>
        <v>107424.575</v>
      </c>
      <c r="D49" s="6">
        <f t="shared" ref="D49:G49" si="29">SUM(D41:D48)</f>
        <v>107424.575</v>
      </c>
      <c r="E49" s="6">
        <f t="shared" si="29"/>
        <v>107424.575</v>
      </c>
      <c r="F49" s="6">
        <f t="shared" si="29"/>
        <v>107424.575</v>
      </c>
      <c r="G49" s="6">
        <f t="shared" si="29"/>
        <v>107424.575</v>
      </c>
      <c r="H49" s="6">
        <f>'Profit and Loss Statement'!E21</f>
        <v>1289094.8999999999</v>
      </c>
    </row>
    <row r="50" spans="2:15">
      <c r="B50" s="30"/>
    </row>
    <row r="51" spans="2:15">
      <c r="B51" s="24" t="s">
        <v>47</v>
      </c>
      <c r="C51" s="25">
        <f>C38-C49</f>
        <v>41780.425000000003</v>
      </c>
      <c r="D51" s="25">
        <f t="shared" ref="D51:H51" si="30">D38-D49</f>
        <v>41780.425000000003</v>
      </c>
      <c r="E51" s="25">
        <f t="shared" si="30"/>
        <v>41780.425000000003</v>
      </c>
      <c r="F51" s="25">
        <f t="shared" si="30"/>
        <v>41780.425000000003</v>
      </c>
      <c r="G51" s="25">
        <f t="shared" si="30"/>
        <v>41780.425000000003</v>
      </c>
      <c r="H51" s="25">
        <f t="shared" si="30"/>
        <v>501365.10000000009</v>
      </c>
    </row>
    <row r="52" spans="2:15">
      <c r="B52" s="29" t="s">
        <v>15</v>
      </c>
      <c r="C52" s="6">
        <f>(C34/$H$34)*$H$52</f>
        <v>9534.5616361114335</v>
      </c>
      <c r="D52" s="6">
        <f t="shared" ref="D52:G52" si="31">(D34/$H$34)*$H$52</f>
        <v>9534.5616361114335</v>
      </c>
      <c r="E52" s="6">
        <f t="shared" si="31"/>
        <v>9534.5616361114335</v>
      </c>
      <c r="F52" s="6">
        <f t="shared" si="31"/>
        <v>9534.5616361114335</v>
      </c>
      <c r="G52" s="6">
        <f t="shared" si="31"/>
        <v>9534.5616361114335</v>
      </c>
      <c r="H52" s="6">
        <f>'Profit and Loss Statement'!E24</f>
        <v>114414.73963333722</v>
      </c>
    </row>
    <row r="53" spans="2:15">
      <c r="B53" s="29" t="s">
        <v>101</v>
      </c>
      <c r="C53" s="6">
        <f>(C34/$H$34)*$H$53</f>
        <v>1906.9123272222871</v>
      </c>
      <c r="D53" s="6">
        <f t="shared" ref="D53:G53" si="32">(D34/$H$34)*$H$53</f>
        <v>1906.9123272222871</v>
      </c>
      <c r="E53" s="6">
        <f t="shared" si="32"/>
        <v>1906.9123272222871</v>
      </c>
      <c r="F53" s="6">
        <f t="shared" si="32"/>
        <v>1906.9123272222871</v>
      </c>
      <c r="G53" s="6">
        <f t="shared" si="32"/>
        <v>1906.9123272222871</v>
      </c>
      <c r="H53" s="6">
        <f>'Profit and Loss Statement'!E25</f>
        <v>22882.947926667446</v>
      </c>
    </row>
    <row r="54" spans="2:15">
      <c r="B54" s="29" t="s">
        <v>16</v>
      </c>
      <c r="C54" s="6">
        <f>'Loan Amortization Table'!D21</f>
        <v>1957.6372428762811</v>
      </c>
      <c r="D54" s="6">
        <f>'Loan Amortization Table'!D22</f>
        <v>1945.3513122859238</v>
      </c>
      <c r="E54" s="6">
        <f>'Loan Amortization Table'!D23</f>
        <v>1932.9937137671227</v>
      </c>
      <c r="F54" s="6">
        <f>'Loan Amortization Table'!D24</f>
        <v>1920.5640292569617</v>
      </c>
      <c r="G54" s="6">
        <f>'Loan Amortization Table'!D25</f>
        <v>1908.061838253825</v>
      </c>
      <c r="H54" s="6">
        <f>'Profit and Loss Statement'!E26</f>
        <v>23706.141466651236</v>
      </c>
    </row>
    <row r="55" spans="2:15">
      <c r="B55" s="29" t="s">
        <v>54</v>
      </c>
      <c r="C55" s="6">
        <f>$H$55/12</f>
        <v>1666.6666666666667</v>
      </c>
      <c r="D55" s="6">
        <f t="shared" ref="D55:G55" si="33">$H$55/12</f>
        <v>1666.6666666666667</v>
      </c>
      <c r="E55" s="6">
        <f t="shared" si="33"/>
        <v>1666.6666666666667</v>
      </c>
      <c r="F55" s="6">
        <f t="shared" si="33"/>
        <v>1666.6666666666667</v>
      </c>
      <c r="G55" s="6">
        <f t="shared" si="33"/>
        <v>1666.6666666666667</v>
      </c>
      <c r="H55" s="6">
        <f>'Profit and Loss Statement'!E27</f>
        <v>20000</v>
      </c>
    </row>
    <row r="56" spans="2:15">
      <c r="B56" s="38" t="s">
        <v>17</v>
      </c>
      <c r="C56" s="39">
        <f>C51-SUM(C52:C55)</f>
        <v>26714.647127123335</v>
      </c>
      <c r="D56" s="39">
        <f t="shared" ref="D56:G56" si="34">D51-SUM(D52:D55)</f>
        <v>26726.933057713693</v>
      </c>
      <c r="E56" s="39">
        <f t="shared" si="34"/>
        <v>26739.290656232493</v>
      </c>
      <c r="F56" s="39">
        <f t="shared" si="34"/>
        <v>26751.720340742653</v>
      </c>
      <c r="G56" s="39">
        <f t="shared" si="34"/>
        <v>26764.222531745792</v>
      </c>
      <c r="H56" s="39">
        <f>'Profit and Loss Statement'!E28</f>
        <v>320361.27097334422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570937.5</v>
      </c>
      <c r="D62" s="6">
        <f t="shared" ref="D62:F62" si="38">$G$62*M62</f>
        <v>570937.5</v>
      </c>
      <c r="E62" s="6">
        <f t="shared" si="38"/>
        <v>570937.5</v>
      </c>
      <c r="F62" s="6">
        <f t="shared" si="38"/>
        <v>570937.5</v>
      </c>
      <c r="G62" s="6">
        <f>'Profit and Loss Statement'!F6</f>
        <v>2283750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11418.75</v>
      </c>
      <c r="D63" s="6">
        <f t="shared" ref="D63:F63" si="39">$G$63*M62</f>
        <v>11418.75</v>
      </c>
      <c r="E63" s="6">
        <f t="shared" si="39"/>
        <v>11418.75</v>
      </c>
      <c r="F63" s="6">
        <f t="shared" si="39"/>
        <v>11418.75</v>
      </c>
      <c r="G63" s="6">
        <f>'Profit and Loss Statement'!F7</f>
        <v>45675</v>
      </c>
    </row>
    <row r="64" spans="2:15">
      <c r="B64" s="29" t="s">
        <v>12</v>
      </c>
      <c r="C64" s="17">
        <f>1-(C63/C62)</f>
        <v>0.98</v>
      </c>
      <c r="D64" s="17">
        <f t="shared" ref="D64" si="40">1-(D63/D62)</f>
        <v>0.98</v>
      </c>
      <c r="E64" s="17">
        <f t="shared" ref="E64" si="41">1-(E63/E62)</f>
        <v>0.98</v>
      </c>
      <c r="F64" s="17">
        <f t="shared" ref="F64:G64" si="42">1-(F63/F62)</f>
        <v>0.98</v>
      </c>
      <c r="G64" s="17">
        <f t="shared" si="42"/>
        <v>0.98</v>
      </c>
    </row>
    <row r="65" spans="2:7">
      <c r="B65" s="30"/>
    </row>
    <row r="66" spans="2:7">
      <c r="B66" s="37" t="s">
        <v>10</v>
      </c>
      <c r="C66" s="6">
        <f>C62-C63</f>
        <v>559518.75</v>
      </c>
      <c r="D66" s="6">
        <f t="shared" ref="D66:G66" si="43">D62-D63</f>
        <v>559518.75</v>
      </c>
      <c r="E66" s="6">
        <f t="shared" si="43"/>
        <v>559518.75</v>
      </c>
      <c r="F66" s="6">
        <f t="shared" si="43"/>
        <v>559518.75</v>
      </c>
      <c r="G66" s="6">
        <f t="shared" si="43"/>
        <v>2238075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173812.5</v>
      </c>
      <c r="D69" s="6">
        <f t="shared" ref="D69:F69" si="44">$G$69/4</f>
        <v>173812.5</v>
      </c>
      <c r="E69" s="6">
        <f t="shared" si="44"/>
        <v>173812.5</v>
      </c>
      <c r="F69" s="6">
        <f t="shared" si="44"/>
        <v>173812.5</v>
      </c>
      <c r="G69" s="6">
        <f>'Profit and Loss Statement'!F13</f>
        <v>695250</v>
      </c>
    </row>
    <row r="70" spans="2:7">
      <c r="B70" s="33" t="str">
        <f>B42</f>
        <v>Facility Costs</v>
      </c>
      <c r="C70" s="6">
        <f>$G$70/4</f>
        <v>6437.5</v>
      </c>
      <c r="D70" s="6">
        <f t="shared" ref="D70:F70" si="45">$G$70/4</f>
        <v>6437.5</v>
      </c>
      <c r="E70" s="6">
        <f t="shared" si="45"/>
        <v>6437.5</v>
      </c>
      <c r="F70" s="6">
        <f t="shared" si="45"/>
        <v>6437.5</v>
      </c>
      <c r="G70" s="6">
        <f>'Profit and Loss Statement'!F14</f>
        <v>25750</v>
      </c>
    </row>
    <row r="71" spans="2:7">
      <c r="B71" s="33" t="str">
        <f t="shared" ref="B71:B75" si="46">B43</f>
        <v>General and Administrative</v>
      </c>
      <c r="C71" s="6">
        <f>$G$71/4</f>
        <v>8963.71875</v>
      </c>
      <c r="D71" s="6">
        <f t="shared" ref="D71:F71" si="47">$G$71/4</f>
        <v>8963.71875</v>
      </c>
      <c r="E71" s="6">
        <f t="shared" si="47"/>
        <v>8963.71875</v>
      </c>
      <c r="F71" s="6">
        <f t="shared" si="47"/>
        <v>8963.71875</v>
      </c>
      <c r="G71" s="6">
        <f>'Profit and Loss Statement'!F15</f>
        <v>35854.875</v>
      </c>
    </row>
    <row r="72" spans="2:7">
      <c r="B72" s="33" t="str">
        <f t="shared" si="46"/>
        <v>Fuel Costs</v>
      </c>
      <c r="C72" s="6">
        <f>$G$72/4</f>
        <v>142734.375</v>
      </c>
      <c r="D72" s="6">
        <f t="shared" ref="D72:F72" si="48">$G$72/4</f>
        <v>142734.375</v>
      </c>
      <c r="E72" s="6">
        <f t="shared" si="48"/>
        <v>142734.375</v>
      </c>
      <c r="F72" s="6">
        <f t="shared" si="48"/>
        <v>142734.375</v>
      </c>
      <c r="G72" s="6">
        <f>'Profit and Loss Statement'!F16</f>
        <v>570937.5</v>
      </c>
    </row>
    <row r="73" spans="2:7">
      <c r="B73" s="33" t="str">
        <f t="shared" si="46"/>
        <v>Insurance Costs</v>
      </c>
      <c r="C73" s="6">
        <f>$G$73/4</f>
        <v>22837.5</v>
      </c>
      <c r="D73" s="6">
        <f t="shared" ref="D73:F73" si="49">$G$73/4</f>
        <v>22837.5</v>
      </c>
      <c r="E73" s="6">
        <f t="shared" si="49"/>
        <v>22837.5</v>
      </c>
      <c r="F73" s="6">
        <f t="shared" si="49"/>
        <v>22837.5</v>
      </c>
      <c r="G73" s="6">
        <f>'Profit and Loss Statement'!F17</f>
        <v>91350</v>
      </c>
    </row>
    <row r="74" spans="2:7">
      <c r="B74" s="33" t="str">
        <f t="shared" si="46"/>
        <v>Maintenance</v>
      </c>
      <c r="C74" s="6">
        <f>$G$74/4</f>
        <v>19982.812500000004</v>
      </c>
      <c r="D74" s="6">
        <f t="shared" ref="D74:F74" si="50">$G$74/4</f>
        <v>19982.812500000004</v>
      </c>
      <c r="E74" s="6">
        <f t="shared" si="50"/>
        <v>19982.812500000004</v>
      </c>
      <c r="F74" s="6">
        <f t="shared" si="50"/>
        <v>19982.812500000004</v>
      </c>
      <c r="G74" s="6">
        <f>'Profit and Loss Statement'!F18</f>
        <v>79931.250000000015</v>
      </c>
    </row>
    <row r="75" spans="2:7">
      <c r="B75" s="33" t="str">
        <f t="shared" si="46"/>
        <v>Professional Fees and Licensure</v>
      </c>
      <c r="C75" s="6">
        <f>$G$75/4</f>
        <v>2194.0875000000001</v>
      </c>
      <c r="D75" s="6">
        <f t="shared" ref="D75:F75" si="51">$G$75/4</f>
        <v>2194.0875000000001</v>
      </c>
      <c r="E75" s="6">
        <f t="shared" si="51"/>
        <v>2194.0875000000001</v>
      </c>
      <c r="F75" s="6">
        <f t="shared" si="51"/>
        <v>2194.0875000000001</v>
      </c>
      <c r="G75" s="6">
        <f>'Profit and Loss Statement'!F19</f>
        <v>8776.35</v>
      </c>
    </row>
    <row r="76" spans="2:7">
      <c r="B76" s="29" t="s">
        <v>14</v>
      </c>
      <c r="C76" s="6">
        <f>$G$76/4</f>
        <v>13296.65625</v>
      </c>
      <c r="D76" s="6">
        <f t="shared" ref="D76:F76" si="52">$G$76/4</f>
        <v>13296.65625</v>
      </c>
      <c r="E76" s="6">
        <f t="shared" si="52"/>
        <v>13296.65625</v>
      </c>
      <c r="F76" s="6">
        <f t="shared" si="52"/>
        <v>13296.65625</v>
      </c>
      <c r="G76" s="6">
        <f>'Profit and Loss Statement'!F20</f>
        <v>53186.625</v>
      </c>
    </row>
    <row r="77" spans="2:7">
      <c r="B77" s="28" t="s">
        <v>8</v>
      </c>
      <c r="C77" s="6">
        <f>SUM(C69:C76)</f>
        <v>390259.15</v>
      </c>
      <c r="D77" s="6">
        <f t="shared" ref="D77:F77" si="53">SUM(D69:D76)</f>
        <v>390259.15</v>
      </c>
      <c r="E77" s="6">
        <f t="shared" si="53"/>
        <v>390259.15</v>
      </c>
      <c r="F77" s="6">
        <f t="shared" si="53"/>
        <v>390259.15</v>
      </c>
      <c r="G77" s="6">
        <f>SUM(G69:G76)</f>
        <v>1561036.6</v>
      </c>
    </row>
    <row r="78" spans="2:7">
      <c r="B78" s="30"/>
    </row>
    <row r="79" spans="2:7">
      <c r="B79" s="24" t="s">
        <v>47</v>
      </c>
      <c r="C79" s="25">
        <f>C66-C77</f>
        <v>169259.59999999998</v>
      </c>
      <c r="D79" s="25">
        <f t="shared" ref="D79:F79" si="54">D66-D77</f>
        <v>169259.59999999998</v>
      </c>
      <c r="E79" s="25">
        <f t="shared" si="54"/>
        <v>169259.59999999998</v>
      </c>
      <c r="F79" s="25">
        <f t="shared" si="54"/>
        <v>169259.59999999998</v>
      </c>
      <c r="G79" s="25">
        <f t="shared" ref="G79" si="55">G66-G77</f>
        <v>677038.39999999991</v>
      </c>
    </row>
    <row r="80" spans="2:7">
      <c r="B80" s="29" t="s">
        <v>15</v>
      </c>
      <c r="C80" s="6">
        <f>$G$80*L62</f>
        <v>39383.987876079678</v>
      </c>
      <c r="D80" s="6">
        <f t="shared" ref="D80:F80" si="56">$G$80*M62</f>
        <v>39383.987876079678</v>
      </c>
      <c r="E80" s="6">
        <f t="shared" si="56"/>
        <v>39383.987876079678</v>
      </c>
      <c r="F80" s="6">
        <f t="shared" si="56"/>
        <v>39383.987876079678</v>
      </c>
      <c r="G80" s="6">
        <f>'Profit and Loss Statement'!F24</f>
        <v>157535.95150431871</v>
      </c>
    </row>
    <row r="81" spans="2:15">
      <c r="B81" s="29" t="s">
        <v>101</v>
      </c>
      <c r="C81" s="6">
        <f>$G$81*L62</f>
        <v>7876.7975752159364</v>
      </c>
      <c r="D81" s="6">
        <f t="shared" ref="D81:F81" si="57">$G$81*M62</f>
        <v>7876.7975752159364</v>
      </c>
      <c r="E81" s="6">
        <f t="shared" si="57"/>
        <v>7876.7975752159364</v>
      </c>
      <c r="F81" s="6">
        <f t="shared" si="57"/>
        <v>7876.7975752159364</v>
      </c>
      <c r="G81" s="6">
        <f>'Profit and Loss Statement'!F25</f>
        <v>31507.190300863746</v>
      </c>
    </row>
    <row r="82" spans="2:15">
      <c r="B82" s="29" t="s">
        <v>16</v>
      </c>
      <c r="C82" s="6">
        <f>SUM('Loan Amortization Table'!D26:D28)</f>
        <v>5648.4409446769578</v>
      </c>
      <c r="D82" s="6">
        <f>SUM('Loan Amortization Table'!D29:D31)</f>
        <v>5533.270105817568</v>
      </c>
      <c r="E82" s="6">
        <f>SUM('Loan Amortization Table'!D32:D34)</f>
        <v>5416.0719973941268</v>
      </c>
      <c r="F82" s="6">
        <f>SUM('Loan Amortization Table'!D35:D37)</f>
        <v>5296.8109348364251</v>
      </c>
      <c r="G82" s="6">
        <f>'Profit and Loss Statement'!F26</f>
        <v>21894.593982725077</v>
      </c>
    </row>
    <row r="83" spans="2:15">
      <c r="B83" s="29" t="s">
        <v>54</v>
      </c>
      <c r="C83" s="6">
        <f>$G$83/4</f>
        <v>6250</v>
      </c>
      <c r="D83" s="6">
        <f t="shared" ref="D83:F83" si="58">$G$83/4</f>
        <v>6250</v>
      </c>
      <c r="E83" s="6">
        <f t="shared" si="58"/>
        <v>6250</v>
      </c>
      <c r="F83" s="6">
        <f t="shared" si="58"/>
        <v>6250</v>
      </c>
      <c r="G83" s="6">
        <f>'Profit and Loss Statement'!F27</f>
        <v>25000</v>
      </c>
    </row>
    <row r="84" spans="2:15">
      <c r="B84" s="38" t="s">
        <v>17</v>
      </c>
      <c r="C84" s="39">
        <f>C79-SUM(C80:C83)</f>
        <v>110100.37360402741</v>
      </c>
      <c r="D84" s="39">
        <f t="shared" ref="D84:F84" si="59">D79-SUM(D80:D83)</f>
        <v>110215.54444288681</v>
      </c>
      <c r="E84" s="39">
        <f t="shared" si="59"/>
        <v>110332.74255131024</v>
      </c>
      <c r="F84" s="39">
        <f t="shared" si="59"/>
        <v>110452.00361386794</v>
      </c>
      <c r="G84" s="39">
        <f>'Profit and Loss Statement'!F28</f>
        <v>441100.66421209241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656578.125</v>
      </c>
      <c r="D92" s="6">
        <f t="shared" ref="D92:F92" si="64">$G$92*M92</f>
        <v>656578.125</v>
      </c>
      <c r="E92" s="6">
        <f t="shared" si="64"/>
        <v>656578.125</v>
      </c>
      <c r="F92" s="6">
        <f t="shared" si="64"/>
        <v>656578.125</v>
      </c>
      <c r="G92" s="6">
        <f>'Profit and Loss Statement'!G6</f>
        <v>2626312.5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13131.562499999998</v>
      </c>
      <c r="D93" s="6">
        <f t="shared" ref="D93:F93" si="65">$G$93*M92</f>
        <v>13131.562499999998</v>
      </c>
      <c r="E93" s="6">
        <f t="shared" si="65"/>
        <v>13131.562499999998</v>
      </c>
      <c r="F93" s="6">
        <f t="shared" si="65"/>
        <v>13131.562499999998</v>
      </c>
      <c r="G93" s="6">
        <f>'Profit and Loss Statement'!G7</f>
        <v>52526.249999999993</v>
      </c>
    </row>
    <row r="94" spans="2:15">
      <c r="B94" s="29" t="s">
        <v>12</v>
      </c>
      <c r="C94" s="17">
        <f>1-(C93/C92)</f>
        <v>0.98</v>
      </c>
      <c r="D94" s="17">
        <f t="shared" ref="D94:G94" si="66">1-(D93/D92)</f>
        <v>0.98</v>
      </c>
      <c r="E94" s="17">
        <f t="shared" si="66"/>
        <v>0.98</v>
      </c>
      <c r="F94" s="17">
        <f t="shared" si="66"/>
        <v>0.98</v>
      </c>
      <c r="G94" s="17">
        <f t="shared" si="66"/>
        <v>0.98</v>
      </c>
    </row>
    <row r="95" spans="2:15">
      <c r="B95" s="30"/>
    </row>
    <row r="96" spans="2:15">
      <c r="B96" s="37" t="s">
        <v>10</v>
      </c>
      <c r="C96" s="6">
        <f>C92-C93</f>
        <v>643446.5625</v>
      </c>
      <c r="D96" s="6">
        <f t="shared" ref="D96:G96" si="67">D92-D93</f>
        <v>643446.5625</v>
      </c>
      <c r="E96" s="6">
        <f t="shared" si="67"/>
        <v>643446.5625</v>
      </c>
      <c r="F96" s="6">
        <f t="shared" si="67"/>
        <v>643446.5625</v>
      </c>
      <c r="G96" s="6">
        <f t="shared" si="67"/>
        <v>2573786.25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179026.875</v>
      </c>
      <c r="D99" s="6">
        <f>$G$99/4</f>
        <v>179026.875</v>
      </c>
      <c r="E99" s="6">
        <f>$G$99/4</f>
        <v>179026.875</v>
      </c>
      <c r="F99" s="6">
        <f>$G$99/4</f>
        <v>179026.875</v>
      </c>
      <c r="G99" s="6">
        <f>'Profit and Loss Statement'!G13</f>
        <v>716107.5</v>
      </c>
    </row>
    <row r="100" spans="2:7">
      <c r="B100" s="33" t="str">
        <f>B70</f>
        <v>Facility Costs</v>
      </c>
      <c r="C100" s="6">
        <f>$G$100/4</f>
        <v>6630.625</v>
      </c>
      <c r="D100" s="6">
        <f t="shared" ref="D100:F100" si="68">$G$100/4</f>
        <v>6630.625</v>
      </c>
      <c r="E100" s="6">
        <f t="shared" si="68"/>
        <v>6630.625</v>
      </c>
      <c r="F100" s="6">
        <f t="shared" si="68"/>
        <v>6630.625</v>
      </c>
      <c r="G100" s="6">
        <f>'Profit and Loss Statement'!G14</f>
        <v>26522.5</v>
      </c>
    </row>
    <row r="101" spans="2:7">
      <c r="B101" s="33" t="str">
        <f t="shared" ref="B101:B105" si="69">B71</f>
        <v>General and Administrative</v>
      </c>
      <c r="C101" s="6">
        <f>$G101/4</f>
        <v>10308.276562499999</v>
      </c>
      <c r="D101" s="6">
        <f t="shared" ref="D101:F101" si="70">$G101/4</f>
        <v>10308.276562499999</v>
      </c>
      <c r="E101" s="6">
        <f t="shared" si="70"/>
        <v>10308.276562499999</v>
      </c>
      <c r="F101" s="6">
        <f t="shared" si="70"/>
        <v>10308.276562499999</v>
      </c>
      <c r="G101" s="6">
        <f>'Profit and Loss Statement'!G15</f>
        <v>41233.106249999997</v>
      </c>
    </row>
    <row r="102" spans="2:7">
      <c r="B102" s="33" t="str">
        <f t="shared" si="69"/>
        <v>Fuel Costs</v>
      </c>
      <c r="C102" s="6">
        <f>$G$102/4</f>
        <v>164144.53125</v>
      </c>
      <c r="D102" s="6">
        <f t="shared" ref="D102:F102" si="71">$G$102/4</f>
        <v>164144.53125</v>
      </c>
      <c r="E102" s="6">
        <f t="shared" si="71"/>
        <v>164144.53125</v>
      </c>
      <c r="F102" s="6">
        <f t="shared" si="71"/>
        <v>164144.53125</v>
      </c>
      <c r="G102" s="6">
        <f>'Profit and Loss Statement'!G16</f>
        <v>656578.125</v>
      </c>
    </row>
    <row r="103" spans="2:7">
      <c r="B103" s="33" t="str">
        <f t="shared" si="69"/>
        <v>Insurance Costs</v>
      </c>
      <c r="C103" s="6">
        <f>$G$103/4</f>
        <v>26263.125</v>
      </c>
      <c r="D103" s="6">
        <f t="shared" ref="D103:F103" si="72">$G$103/4</f>
        <v>26263.125</v>
      </c>
      <c r="E103" s="6">
        <f t="shared" si="72"/>
        <v>26263.125</v>
      </c>
      <c r="F103" s="6">
        <f t="shared" si="72"/>
        <v>26263.125</v>
      </c>
      <c r="G103" s="6">
        <f>'Profit and Loss Statement'!G17</f>
        <v>105052.5</v>
      </c>
    </row>
    <row r="104" spans="2:7">
      <c r="B104" s="33" t="str">
        <f t="shared" si="69"/>
        <v>Maintenance</v>
      </c>
      <c r="C104" s="6">
        <f>$G$104/4</f>
        <v>22980.234375000004</v>
      </c>
      <c r="D104" s="6">
        <f t="shared" ref="D104:F104" si="73">$G$104/4</f>
        <v>22980.234375000004</v>
      </c>
      <c r="E104" s="6">
        <f t="shared" si="73"/>
        <v>22980.234375000004</v>
      </c>
      <c r="F104" s="6">
        <f t="shared" si="73"/>
        <v>22980.234375000004</v>
      </c>
      <c r="G104" s="6">
        <f>'Profit and Loss Statement'!G18</f>
        <v>91920.937500000015</v>
      </c>
    </row>
    <row r="105" spans="2:7">
      <c r="B105" s="33" t="str">
        <f t="shared" si="69"/>
        <v>Professional Fees and Licensure</v>
      </c>
      <c r="C105" s="6">
        <f>$G$105/4</f>
        <v>2962.0181250000005</v>
      </c>
      <c r="D105" s="6">
        <f t="shared" ref="D105:F105" si="74">$G$105/4</f>
        <v>2962.0181250000005</v>
      </c>
      <c r="E105" s="6">
        <f t="shared" si="74"/>
        <v>2962.0181250000005</v>
      </c>
      <c r="F105" s="6">
        <f t="shared" si="74"/>
        <v>2962.0181250000005</v>
      </c>
      <c r="G105" s="6">
        <f>'Profit and Loss Statement'!G19</f>
        <v>11848.072500000002</v>
      </c>
    </row>
    <row r="106" spans="2:7">
      <c r="B106" s="29" t="s">
        <v>14</v>
      </c>
      <c r="C106" s="6">
        <f>$G$106/4</f>
        <v>13695.555937499999</v>
      </c>
      <c r="D106" s="6">
        <f t="shared" ref="D106:F106" si="75">$G$106/4</f>
        <v>13695.555937499999</v>
      </c>
      <c r="E106" s="6">
        <f t="shared" si="75"/>
        <v>13695.555937499999</v>
      </c>
      <c r="F106" s="6">
        <f t="shared" si="75"/>
        <v>13695.555937499999</v>
      </c>
      <c r="G106" s="6">
        <f>'Profit and Loss Statement'!G20</f>
        <v>54782.223749999997</v>
      </c>
    </row>
    <row r="107" spans="2:7">
      <c r="B107" s="28" t="s">
        <v>8</v>
      </c>
      <c r="C107" s="6">
        <f>SUM(C99:C106)</f>
        <v>426011.24124999996</v>
      </c>
      <c r="D107" s="6">
        <f t="shared" ref="D107:F107" si="76">SUM(D99:D106)</f>
        <v>426011.24124999996</v>
      </c>
      <c r="E107" s="6">
        <f t="shared" si="76"/>
        <v>426011.24124999996</v>
      </c>
      <c r="F107" s="6">
        <f t="shared" si="76"/>
        <v>426011.24124999996</v>
      </c>
      <c r="G107" s="6">
        <f>SUM(G99:G106)</f>
        <v>1704044.9649999999</v>
      </c>
    </row>
    <row r="108" spans="2:7">
      <c r="B108" s="30"/>
    </row>
    <row r="109" spans="2:7">
      <c r="B109" s="24" t="s">
        <v>47</v>
      </c>
      <c r="C109" s="25">
        <f>C96-C107</f>
        <v>217435.32125000004</v>
      </c>
      <c r="D109" s="25">
        <f t="shared" ref="D109:G109" si="77">D96-D107</f>
        <v>217435.32125000004</v>
      </c>
      <c r="E109" s="25">
        <f t="shared" si="77"/>
        <v>217435.32125000004</v>
      </c>
      <c r="F109" s="25">
        <f t="shared" si="77"/>
        <v>217435.32125000004</v>
      </c>
      <c r="G109" s="25">
        <f t="shared" si="77"/>
        <v>869741.28500000015</v>
      </c>
    </row>
    <row r="110" spans="2:7">
      <c r="B110" s="29" t="s">
        <v>15</v>
      </c>
      <c r="C110" s="6">
        <f>$G$110*L92</f>
        <v>51236.824713455571</v>
      </c>
      <c r="D110" s="6">
        <f t="shared" ref="D110:F110" si="78">$G$110*M92</f>
        <v>51236.824713455571</v>
      </c>
      <c r="E110" s="6">
        <f t="shared" si="78"/>
        <v>51236.824713455571</v>
      </c>
      <c r="F110" s="6">
        <f t="shared" si="78"/>
        <v>51236.824713455571</v>
      </c>
      <c r="G110" s="6">
        <f>'Profit and Loss Statement'!G24</f>
        <v>204947.29885382229</v>
      </c>
    </row>
    <row r="111" spans="2:7">
      <c r="B111" s="29" t="s">
        <v>101</v>
      </c>
      <c r="C111" s="6">
        <f>$G$111*L92</f>
        <v>10247.364942691114</v>
      </c>
      <c r="D111" s="6">
        <f t="shared" ref="D111:F111" si="79">$G$111*M92</f>
        <v>10247.364942691114</v>
      </c>
      <c r="E111" s="6">
        <f t="shared" si="79"/>
        <v>10247.364942691114</v>
      </c>
      <c r="F111" s="6">
        <f t="shared" si="79"/>
        <v>10247.364942691114</v>
      </c>
      <c r="G111" s="6">
        <f>'Profit and Loss Statement'!G25</f>
        <v>40989.459770764457</v>
      </c>
    </row>
    <row r="112" spans="2:7">
      <c r="B112" s="29" t="s">
        <v>16</v>
      </c>
      <c r="C112" s="6">
        <f>SUM('Loan Amortization Table'!D38:D40)</f>
        <v>5175.4506054443927</v>
      </c>
      <c r="D112" s="6">
        <f>SUM('Loan Amortization Table'!D41:D43)</f>
        <v>5051.9540573315771</v>
      </c>
      <c r="E112" s="6">
        <f>SUM('Loan Amortization Table'!D44:D46)</f>
        <v>4926.2836881740095</v>
      </c>
      <c r="F112" s="6">
        <f>SUM('Loan Amortization Table'!D47:D49)</f>
        <v>4798.4012337610111</v>
      </c>
      <c r="G112" s="6">
        <f>'Profit and Loss Statement'!G26</f>
        <v>19952.08958471099</v>
      </c>
    </row>
    <row r="113" spans="2:15">
      <c r="B113" s="29" t="s">
        <v>54</v>
      </c>
      <c r="C113" s="6">
        <f>$G$113/4</f>
        <v>7500</v>
      </c>
      <c r="D113" s="6">
        <f>$G$113/4</f>
        <v>7500</v>
      </c>
      <c r="E113" s="6">
        <f>$G$113/4</f>
        <v>7500</v>
      </c>
      <c r="F113" s="6">
        <f>$G$113/4</f>
        <v>7500</v>
      </c>
      <c r="G113" s="6">
        <f>'Profit and Loss Statement'!G27</f>
        <v>30000</v>
      </c>
    </row>
    <row r="114" spans="2:15">
      <c r="B114" s="38" t="s">
        <v>17</v>
      </c>
      <c r="C114" s="39">
        <f>C109-SUM(C110:C113)</f>
        <v>143275.68098840897</v>
      </c>
      <c r="D114" s="39">
        <f t="shared" ref="D114:F114" si="80">D109-SUM(D110:D113)</f>
        <v>143399.17753652178</v>
      </c>
      <c r="E114" s="39">
        <f t="shared" si="80"/>
        <v>143524.84790567934</v>
      </c>
      <c r="F114" s="39">
        <f t="shared" si="80"/>
        <v>143652.73036009233</v>
      </c>
      <c r="G114" s="39">
        <f>'Profit and Loss Statement'!G28</f>
        <v>573852.4367907024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O151"/>
  <sheetViews>
    <sheetView showGridLines="0" workbookViewId="0">
      <selection activeCell="V10" sqref="V10"/>
    </sheetView>
  </sheetViews>
  <sheetFormatPr defaultRowHeight="15"/>
  <cols>
    <col min="3" max="3" width="27.5703125" customWidth="1"/>
    <col min="4" max="6" width="8.5703125" bestFit="1" customWidth="1"/>
    <col min="7" max="7" width="9.28515625" bestFit="1" customWidth="1"/>
    <col min="8" max="8" width="11" customWidth="1"/>
    <col min="9" max="9" width="9.28515625" bestFit="1" customWidth="1"/>
    <col min="10" max="10" width="8.5703125" bestFit="1" customWidth="1"/>
  </cols>
  <sheetData>
    <row r="4" spans="3:15">
      <c r="C4" s="7" t="s">
        <v>66</v>
      </c>
      <c r="D4" s="3"/>
      <c r="E4" s="3"/>
      <c r="F4" s="3"/>
      <c r="G4" s="3"/>
      <c r="H4" s="3"/>
      <c r="I4" s="3"/>
      <c r="J4" s="3"/>
    </row>
    <row r="5" spans="3:15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5">
      <c r="C6" s="41" t="s">
        <v>67</v>
      </c>
      <c r="D6" s="13">
        <f>'Expanded Profit and Loss'!C28+'Expanded Profit and Loss'!C27</f>
        <v>28297.284369999619</v>
      </c>
      <c r="E6" s="13">
        <f>'Expanded Profit and Loss'!D28+'Expanded Profit and Loss'!D27</f>
        <v>28309.080128951198</v>
      </c>
      <c r="F6" s="13">
        <f>'Expanded Profit and Loss'!E28+'Expanded Profit and Loss'!E27</f>
        <v>28320.944696496659</v>
      </c>
      <c r="G6" s="13">
        <f>'Expanded Profit and Loss'!F28+'Expanded Profit and Loss'!F27</f>
        <v>28332.878474019471</v>
      </c>
      <c r="H6" s="13">
        <f>'Expanded Profit and Loss'!G28+'Expanded Profit and Loss'!G27</f>
        <v>28344.881865244501</v>
      </c>
      <c r="I6" s="13">
        <f>'Expanded Profit and Loss'!H28+'Expanded Profit and Loss'!H27</f>
        <v>28356.95527625168</v>
      </c>
      <c r="J6" s="13">
        <f>'Expanded Profit and Loss'!I28+'Expanded Profit and Loss'!I27</f>
        <v>28369.099115489731</v>
      </c>
    </row>
    <row r="7" spans="3:15">
      <c r="C7" s="30"/>
    </row>
    <row r="8" spans="3:15">
      <c r="C8" s="35" t="s">
        <v>19</v>
      </c>
      <c r="O8" t="s">
        <v>129</v>
      </c>
    </row>
    <row r="9" spans="3:15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5">
      <c r="C10" s="31" t="s">
        <v>21</v>
      </c>
      <c r="D10" s="6">
        <f>'Cash Flow Analysis'!E10</f>
        <v>350000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5">
      <c r="C11" s="12" t="s">
        <v>22</v>
      </c>
      <c r="D11" s="13">
        <f>$I$36/12</f>
        <v>220</v>
      </c>
      <c r="E11" s="13">
        <f t="shared" ref="E11:J11" si="1">$I$36/12</f>
        <v>220</v>
      </c>
      <c r="F11" s="13">
        <f t="shared" si="1"/>
        <v>220</v>
      </c>
      <c r="G11" s="13">
        <f t="shared" si="1"/>
        <v>220</v>
      </c>
      <c r="H11" s="13">
        <f t="shared" si="1"/>
        <v>220</v>
      </c>
      <c r="I11" s="13">
        <f t="shared" si="1"/>
        <v>220</v>
      </c>
      <c r="J11" s="13">
        <f t="shared" si="1"/>
        <v>220</v>
      </c>
    </row>
    <row r="12" spans="3:15">
      <c r="C12" s="37" t="s">
        <v>23</v>
      </c>
      <c r="D12" s="26">
        <f>SUM(D9:D11)</f>
        <v>400220</v>
      </c>
      <c r="E12" s="26">
        <f t="shared" ref="E12:J12" si="2">SUM(E9:E11)</f>
        <v>220</v>
      </c>
      <c r="F12" s="26">
        <f t="shared" si="2"/>
        <v>220</v>
      </c>
      <c r="G12" s="26">
        <f t="shared" si="2"/>
        <v>220</v>
      </c>
      <c r="H12" s="26">
        <f t="shared" si="2"/>
        <v>220</v>
      </c>
      <c r="I12" s="26">
        <f t="shared" si="2"/>
        <v>220</v>
      </c>
      <c r="J12" s="26">
        <f t="shared" si="2"/>
        <v>220</v>
      </c>
    </row>
    <row r="13" spans="3:15">
      <c r="C13" s="30"/>
    </row>
    <row r="14" spans="3:15">
      <c r="C14" s="30"/>
    </row>
    <row r="15" spans="3:15">
      <c r="C15" s="41" t="s">
        <v>18</v>
      </c>
      <c r="D15" s="27">
        <f>D6+D12</f>
        <v>428517.2843699996</v>
      </c>
      <c r="E15" s="27">
        <f t="shared" ref="E15:J15" si="3">E6+E12</f>
        <v>28529.080128951198</v>
      </c>
      <c r="F15" s="27">
        <f t="shared" si="3"/>
        <v>28540.944696496659</v>
      </c>
      <c r="G15" s="27">
        <f t="shared" si="3"/>
        <v>28552.878474019471</v>
      </c>
      <c r="H15" s="27">
        <f t="shared" si="3"/>
        <v>28564.881865244501</v>
      </c>
      <c r="I15" s="27">
        <f t="shared" si="3"/>
        <v>28576.95527625168</v>
      </c>
      <c r="J15" s="27">
        <f t="shared" si="3"/>
        <v>28589.099115489731</v>
      </c>
    </row>
    <row r="16" spans="3:15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2022.1301059851751</v>
      </c>
      <c r="E18" s="6">
        <f>'Loan Amortization Table'!C15</f>
        <v>2033.925864936755</v>
      </c>
      <c r="F18" s="6">
        <f>'Loan Amortization Table'!C16</f>
        <v>2045.7904324822198</v>
      </c>
      <c r="G18" s="6">
        <f>'Loan Amortization Table'!C17</f>
        <v>2057.7242100050325</v>
      </c>
      <c r="H18" s="6">
        <f>'Loan Amortization Table'!C18</f>
        <v>2069.7276012300617</v>
      </c>
      <c r="I18" s="6">
        <f>'Loan Amortization Table'!C19</f>
        <v>2081.801012237237</v>
      </c>
      <c r="J18" s="6">
        <f>'Loan Amortization Table'!C20</f>
        <v>2093.944851475288</v>
      </c>
    </row>
    <row r="19" spans="3:10">
      <c r="C19" s="12" t="s">
        <v>25</v>
      </c>
      <c r="D19" s="13">
        <f>$I$44/12</f>
        <v>153.99999999999997</v>
      </c>
      <c r="E19" s="13">
        <f t="shared" ref="E19:J19" si="4">$I$44/12</f>
        <v>153.99999999999997</v>
      </c>
      <c r="F19" s="13">
        <f t="shared" si="4"/>
        <v>153.99999999999997</v>
      </c>
      <c r="G19" s="13">
        <f t="shared" si="4"/>
        <v>153.99999999999997</v>
      </c>
      <c r="H19" s="13">
        <f t="shared" si="4"/>
        <v>153.99999999999997</v>
      </c>
      <c r="I19" s="13">
        <f t="shared" si="4"/>
        <v>153.99999999999997</v>
      </c>
      <c r="J19" s="13">
        <f t="shared" si="4"/>
        <v>153.99999999999997</v>
      </c>
    </row>
    <row r="20" spans="3:10">
      <c r="C20" s="31" t="s">
        <v>33</v>
      </c>
      <c r="D20" s="6">
        <f>I45</f>
        <v>310000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312176.13010598515</v>
      </c>
      <c r="E22" s="26">
        <f t="shared" ref="E22:J22" si="5">SUM(E18:E21)</f>
        <v>2187.9258649367548</v>
      </c>
      <c r="F22" s="26">
        <f t="shared" si="5"/>
        <v>2199.7904324822198</v>
      </c>
      <c r="G22" s="26">
        <f t="shared" si="5"/>
        <v>2211.7242100050325</v>
      </c>
      <c r="H22" s="26">
        <f t="shared" si="5"/>
        <v>2223.7276012300617</v>
      </c>
      <c r="I22" s="26">
        <f t="shared" si="5"/>
        <v>2235.801012237237</v>
      </c>
      <c r="J22" s="26">
        <f t="shared" si="5"/>
        <v>2247.944851475288</v>
      </c>
    </row>
    <row r="23" spans="3:10">
      <c r="C23" s="30"/>
    </row>
    <row r="24" spans="3:10">
      <c r="C24" s="42" t="s">
        <v>27</v>
      </c>
      <c r="D24" s="25">
        <f>D15-D22</f>
        <v>116341.15426401445</v>
      </c>
      <c r="E24" s="25">
        <f t="shared" ref="E24:J24" si="6">E15-E22</f>
        <v>26341.154264014443</v>
      </c>
      <c r="F24" s="25">
        <f t="shared" si="6"/>
        <v>26341.15426401444</v>
      </c>
      <c r="G24" s="25">
        <f t="shared" si="6"/>
        <v>26341.15426401444</v>
      </c>
      <c r="H24" s="25">
        <f t="shared" si="6"/>
        <v>26341.15426401444</v>
      </c>
      <c r="I24" s="25">
        <f t="shared" si="6"/>
        <v>26341.154264014443</v>
      </c>
      <c r="J24" s="25">
        <f t="shared" si="6"/>
        <v>26341.154264014443</v>
      </c>
    </row>
    <row r="25" spans="3:10">
      <c r="C25" s="42" t="s">
        <v>6</v>
      </c>
      <c r="D25" s="25">
        <f>D24</f>
        <v>116341.15426401445</v>
      </c>
      <c r="E25" s="25">
        <f>D25+E24</f>
        <v>142682.30852802889</v>
      </c>
      <c r="F25" s="25">
        <f t="shared" ref="F25:J25" si="7">E25+F24</f>
        <v>169023.46279204334</v>
      </c>
      <c r="G25" s="25">
        <f t="shared" si="7"/>
        <v>195364.61705605779</v>
      </c>
      <c r="H25" s="25">
        <f t="shared" si="7"/>
        <v>221705.77132007224</v>
      </c>
      <c r="I25" s="25">
        <f t="shared" si="7"/>
        <v>248046.92558408668</v>
      </c>
      <c r="J25" s="25">
        <f t="shared" si="7"/>
        <v>274388.07984810113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28381.313793790003</v>
      </c>
      <c r="E31" s="13">
        <f>'Expanded Profit and Loss'!D56+'Expanded Profit and Loss'!D55</f>
        <v>28393.599724380361</v>
      </c>
      <c r="F31" s="13">
        <f>'Expanded Profit and Loss'!E56+'Expanded Profit and Loss'!E55</f>
        <v>28405.957322899161</v>
      </c>
      <c r="G31" s="13">
        <f>'Expanded Profit and Loss'!F56+'Expanded Profit and Loss'!F55</f>
        <v>28418.387007409321</v>
      </c>
      <c r="H31" s="13">
        <f>'Expanded Profit and Loss'!G56+'Expanded Profit and Loss'!G55</f>
        <v>28430.88919841246</v>
      </c>
      <c r="I31" s="13">
        <f>'Cash Flow Analysis'!E6</f>
        <v>340361.27097334422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350000</v>
      </c>
      <c r="J35" s="30"/>
    </row>
    <row r="36" spans="3:10">
      <c r="C36" s="12" t="s">
        <v>22</v>
      </c>
      <c r="D36" s="13">
        <f>$I$36/12</f>
        <v>220</v>
      </c>
      <c r="E36" s="13">
        <f t="shared" ref="E36:H36" si="11">$I$36/12</f>
        <v>220</v>
      </c>
      <c r="F36" s="13">
        <f t="shared" si="11"/>
        <v>220</v>
      </c>
      <c r="G36" s="13">
        <f t="shared" si="11"/>
        <v>220</v>
      </c>
      <c r="H36" s="13">
        <f t="shared" si="11"/>
        <v>220</v>
      </c>
      <c r="I36" s="20">
        <f>'Cash Flow Analysis'!E11</f>
        <v>2640</v>
      </c>
      <c r="J36" s="30"/>
    </row>
    <row r="37" spans="3:10">
      <c r="C37" s="37" t="s">
        <v>23</v>
      </c>
      <c r="D37" s="26">
        <f>SUM(D34:D36)</f>
        <v>220</v>
      </c>
      <c r="E37" s="26">
        <f t="shared" ref="E37:H37" si="12">SUM(E34:E36)</f>
        <v>220</v>
      </c>
      <c r="F37" s="26">
        <f t="shared" si="12"/>
        <v>220</v>
      </c>
      <c r="G37" s="26">
        <f t="shared" si="12"/>
        <v>220</v>
      </c>
      <c r="H37" s="26">
        <f t="shared" si="12"/>
        <v>220</v>
      </c>
      <c r="I37" s="44">
        <f>'Cash Flow Analysis'!E12</f>
        <v>402640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28601.313793790003</v>
      </c>
      <c r="E40" s="27">
        <f t="shared" ref="E40:H40" si="13">E31+E37</f>
        <v>28613.599724380361</v>
      </c>
      <c r="F40" s="27">
        <f t="shared" si="13"/>
        <v>28625.957322899161</v>
      </c>
      <c r="G40" s="27">
        <f t="shared" si="13"/>
        <v>28638.387007409321</v>
      </c>
      <c r="H40" s="27">
        <f t="shared" si="13"/>
        <v>28650.88919841246</v>
      </c>
      <c r="I40" s="36">
        <f>'Cash Flow Analysis'!E15</f>
        <v>743001.27097334422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2106.1595297755607</v>
      </c>
      <c r="E43" s="6">
        <f>'Loan Amortization Table'!C22</f>
        <v>2118.4454603659178</v>
      </c>
      <c r="F43" s="6">
        <f>'Loan Amortization Table'!C23</f>
        <v>2130.8030588847191</v>
      </c>
      <c r="G43" s="6">
        <f>'Loan Amortization Table'!C24</f>
        <v>2143.2327433948803</v>
      </c>
      <c r="H43" s="6">
        <f>'Loan Amortization Table'!C25</f>
        <v>2155.7349343980168</v>
      </c>
      <c r="I43" s="6">
        <f>'Cash Flow Analysis'!E18</f>
        <v>25059.419805170863</v>
      </c>
      <c r="J43" s="30"/>
    </row>
    <row r="44" spans="3:10">
      <c r="C44" s="12" t="s">
        <v>25</v>
      </c>
      <c r="D44" s="13">
        <f>$I$44/12</f>
        <v>153.99999999999997</v>
      </c>
      <c r="E44" s="13">
        <f t="shared" ref="E44:H44" si="14">$I$44/12</f>
        <v>153.99999999999997</v>
      </c>
      <c r="F44" s="13">
        <f t="shared" si="14"/>
        <v>153.99999999999997</v>
      </c>
      <c r="G44" s="13">
        <f t="shared" si="14"/>
        <v>153.99999999999997</v>
      </c>
      <c r="H44" s="13">
        <f t="shared" si="14"/>
        <v>153.99999999999997</v>
      </c>
      <c r="I44" s="13">
        <f>'Cash Flow Analysis'!E19</f>
        <v>1847.9999999999998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310000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204216.76258400653</v>
      </c>
      <c r="I46" s="13">
        <f>'Cash Flow Analysis'!E21</f>
        <v>204216.76258400653</v>
      </c>
      <c r="J46" s="30"/>
    </row>
    <row r="47" spans="3:10">
      <c r="C47" s="37" t="s">
        <v>26</v>
      </c>
      <c r="D47" s="26">
        <f>SUM(D43:D46)</f>
        <v>2260.1595297755607</v>
      </c>
      <c r="E47" s="26">
        <f t="shared" ref="E47:H47" si="15">SUM(E43:E46)</f>
        <v>2272.4454603659178</v>
      </c>
      <c r="F47" s="26">
        <f t="shared" si="15"/>
        <v>2284.8030588847191</v>
      </c>
      <c r="G47" s="26">
        <f t="shared" si="15"/>
        <v>2297.2327433948803</v>
      </c>
      <c r="H47" s="26">
        <f t="shared" si="15"/>
        <v>206526.49751840456</v>
      </c>
      <c r="I47" s="26">
        <f>'Cash Flow Analysis'!E22</f>
        <v>541124.18238917738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26341.154264014443</v>
      </c>
      <c r="E49" s="25">
        <f t="shared" ref="E49:H49" si="16">E40-E47</f>
        <v>26341.154264014443</v>
      </c>
      <c r="F49" s="25">
        <f t="shared" si="16"/>
        <v>26341.154264014443</v>
      </c>
      <c r="G49" s="25">
        <f t="shared" si="16"/>
        <v>26341.15426401444</v>
      </c>
      <c r="H49" s="25">
        <f t="shared" si="16"/>
        <v>-177875.60831999211</v>
      </c>
      <c r="I49" s="45">
        <f>'Cash Flow Analysis'!E24</f>
        <v>201877.08858416684</v>
      </c>
      <c r="J49" s="30"/>
    </row>
    <row r="50" spans="3:10">
      <c r="C50" s="42" t="s">
        <v>6</v>
      </c>
      <c r="D50" s="25">
        <f>J25+D49</f>
        <v>300729.23411211558</v>
      </c>
      <c r="E50" s="25">
        <f>D50+E49</f>
        <v>327070.38837613002</v>
      </c>
      <c r="F50" s="25">
        <f t="shared" ref="F50:H50" si="17">E50+F49</f>
        <v>353411.54264014447</v>
      </c>
      <c r="G50" s="25">
        <f t="shared" si="17"/>
        <v>379752.69690415892</v>
      </c>
      <c r="H50" s="25">
        <f t="shared" si="17"/>
        <v>201877.08858416681</v>
      </c>
      <c r="I50" s="45">
        <f>'Cash Flow Analysis'!E25</f>
        <v>201877.08858416684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116350.37360402741</v>
      </c>
      <c r="E58" s="48">
        <f>'Expanded Profit and Loss'!D84+'Expanded Profit and Loss'!D83</f>
        <v>116465.54444288681</v>
      </c>
      <c r="F58" s="48">
        <f>'Expanded Profit and Loss'!E84+'Expanded Profit and Loss'!E83</f>
        <v>116582.74255131024</v>
      </c>
      <c r="G58" s="48">
        <f>'Expanded Profit and Loss'!F84+'Expanded Profit and Loss'!F83</f>
        <v>116702.00361386794</v>
      </c>
      <c r="H58" s="46">
        <f>'Cash Flow Analysis'!F6</f>
        <v>466100.66421209241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673.2</v>
      </c>
      <c r="E63" s="49">
        <f>$H$63/4</f>
        <v>673.2</v>
      </c>
      <c r="F63" s="49">
        <f>$H$63/4</f>
        <v>673.2</v>
      </c>
      <c r="G63" s="49">
        <f>$H$63/4</f>
        <v>673.2</v>
      </c>
      <c r="H63" s="13">
        <f>'Cash Flow Analysis'!F11</f>
        <v>2692.8</v>
      </c>
    </row>
    <row r="64" spans="3:10">
      <c r="C64" s="37" t="s">
        <v>23</v>
      </c>
      <c r="D64" s="51">
        <f>SUM(D61:D63)</f>
        <v>673.2</v>
      </c>
      <c r="E64" s="51">
        <f t="shared" ref="E64:G64" si="18">SUM(E61:E63)</f>
        <v>673.2</v>
      </c>
      <c r="F64" s="51">
        <f t="shared" si="18"/>
        <v>673.2</v>
      </c>
      <c r="G64" s="51">
        <f t="shared" si="18"/>
        <v>673.2</v>
      </c>
      <c r="H64" s="32">
        <f>'Cash Flow Analysis'!F12</f>
        <v>2692.8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117023.57360402741</v>
      </c>
      <c r="E67" s="48">
        <f t="shared" ref="E67:G67" si="19">E58+E64</f>
        <v>117138.7444428868</v>
      </c>
      <c r="F67" s="48">
        <f t="shared" si="19"/>
        <v>117255.94255131023</v>
      </c>
      <c r="G67" s="48">
        <f t="shared" si="19"/>
        <v>117375.20361386794</v>
      </c>
      <c r="H67" s="27">
        <f>'Cash Flow Analysis'!F15</f>
        <v>468793.4642120924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6542.9493732785677</v>
      </c>
      <c r="E70" s="50">
        <f>SUM('Loan Amortization Table'!C29:C31)</f>
        <v>6658.1202121379574</v>
      </c>
      <c r="F70" s="50">
        <f>SUM('Loan Amortization Table'!C32:C34)</f>
        <v>6775.3183205613996</v>
      </c>
      <c r="G70" s="50">
        <f>SUM('Loan Amortization Table'!C35:C37)</f>
        <v>6894.5793831191004</v>
      </c>
      <c r="H70" s="32">
        <f>'Cash Flow Analysis'!F18</f>
        <v>26870.967289097021</v>
      </c>
    </row>
    <row r="71" spans="3:8">
      <c r="C71" s="12" t="s">
        <v>25</v>
      </c>
      <c r="D71" s="49">
        <f>$H$71/4</f>
        <v>471.24</v>
      </c>
      <c r="E71" s="49">
        <f>$H$71/4</f>
        <v>471.24</v>
      </c>
      <c r="F71" s="49">
        <f>$H$71/4</f>
        <v>471.24</v>
      </c>
      <c r="G71" s="49">
        <f>$H$71/4</f>
        <v>471.24</v>
      </c>
      <c r="H71" s="13">
        <f>'Cash Flow Analysis'!F19</f>
        <v>1884.96</v>
      </c>
    </row>
    <row r="72" spans="3:8">
      <c r="C72" s="31" t="s">
        <v>33</v>
      </c>
      <c r="D72" s="50">
        <f>H72</f>
        <v>100000</v>
      </c>
      <c r="E72" s="50">
        <v>0</v>
      </c>
      <c r="F72" s="50">
        <v>0</v>
      </c>
      <c r="G72" s="50">
        <v>0</v>
      </c>
      <c r="H72" s="32">
        <f>'Cash Flow Analysis'!F20</f>
        <v>100000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279660.39852725546</v>
      </c>
      <c r="H73" s="13">
        <f>'Cash Flow Analysis'!F21</f>
        <v>279660.39852725546</v>
      </c>
    </row>
    <row r="74" spans="3:8">
      <c r="C74" s="37" t="s">
        <v>26</v>
      </c>
      <c r="D74" s="51">
        <f>SUM(D70:D73)</f>
        <v>107014.18937327857</v>
      </c>
      <c r="E74" s="51">
        <f t="shared" ref="E74:G74" si="20">SUM(E70:E73)</f>
        <v>7129.3602121379572</v>
      </c>
      <c r="F74" s="51">
        <f t="shared" si="20"/>
        <v>7246.5583205613993</v>
      </c>
      <c r="G74" s="51">
        <f t="shared" si="20"/>
        <v>287026.21791037457</v>
      </c>
      <c r="H74" s="34">
        <f>'Cash Flow Analysis'!F22</f>
        <v>408416.3258163525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10009.384230748838</v>
      </c>
      <c r="E76" s="52">
        <f t="shared" ref="E76:G76" si="21">E67-E74</f>
        <v>110009.38423074885</v>
      </c>
      <c r="F76" s="52">
        <f t="shared" si="21"/>
        <v>110009.38423074884</v>
      </c>
      <c r="G76" s="52">
        <f t="shared" si="21"/>
        <v>-169651.01429650665</v>
      </c>
      <c r="H76" s="40">
        <f>'Cash Flow Analysis'!F24</f>
        <v>60377.138395739894</v>
      </c>
    </row>
    <row r="77" spans="3:8">
      <c r="C77" s="42" t="s">
        <v>6</v>
      </c>
      <c r="D77" s="52">
        <f>I50+D76</f>
        <v>211886.47281491567</v>
      </c>
      <c r="E77" s="52">
        <f>D77+E76</f>
        <v>321895.85704566451</v>
      </c>
      <c r="F77" s="52">
        <f t="shared" ref="F77:G77" si="22">E77+F76</f>
        <v>431905.24127641332</v>
      </c>
      <c r="G77" s="52">
        <f t="shared" si="22"/>
        <v>262254.22697990667</v>
      </c>
      <c r="H77" s="40">
        <f>'Cash Flow Analysis'!F25</f>
        <v>262254.22697990673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150775.68098840897</v>
      </c>
      <c r="E84" s="48">
        <f>'Expanded Profit and Loss'!D114+'Expanded Profit and Loss'!D113</f>
        <v>150899.17753652178</v>
      </c>
      <c r="F84" s="48">
        <f>'Expanded Profit and Loss'!E114+'Expanded Profit and Loss'!E113</f>
        <v>151024.84790567934</v>
      </c>
      <c r="G84" s="48">
        <f>'Expanded Profit and Loss'!F114+'Expanded Profit and Loss'!F113</f>
        <v>151152.73036009233</v>
      </c>
      <c r="H84" s="27">
        <f>'Cash Flow Analysis'!G6</f>
        <v>603852.4367907024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686.6640000000001</v>
      </c>
      <c r="E89" s="49">
        <f>$H$89/4</f>
        <v>686.6640000000001</v>
      </c>
      <c r="F89" s="49">
        <f>$H$89/4</f>
        <v>686.6640000000001</v>
      </c>
      <c r="G89" s="49">
        <f>$H$89/4</f>
        <v>686.6640000000001</v>
      </c>
      <c r="H89" s="13">
        <f>'Cash Flow Analysis'!G12</f>
        <v>2746.6560000000004</v>
      </c>
    </row>
    <row r="90" spans="3:8">
      <c r="C90" s="37" t="s">
        <v>23</v>
      </c>
      <c r="D90" s="51">
        <f>SUM(D87:D89)</f>
        <v>686.6640000000001</v>
      </c>
      <c r="E90" s="51">
        <f t="shared" ref="E90:G90" si="23">SUM(E87:E89)</f>
        <v>686.6640000000001</v>
      </c>
      <c r="F90" s="51">
        <f t="shared" si="23"/>
        <v>686.6640000000001</v>
      </c>
      <c r="G90" s="51">
        <f t="shared" si="23"/>
        <v>686.6640000000001</v>
      </c>
      <c r="H90" s="34">
        <f>'Cash Flow Analysis'!G12</f>
        <v>2746.6560000000004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151462.34498840896</v>
      </c>
      <c r="E93" s="48">
        <f t="shared" ref="E93:G93" si="24">E90+E84</f>
        <v>151585.84153652177</v>
      </c>
      <c r="F93" s="48">
        <f t="shared" si="24"/>
        <v>151711.51190567933</v>
      </c>
      <c r="G93" s="48">
        <f t="shared" si="24"/>
        <v>151839.39436009232</v>
      </c>
      <c r="H93" s="27">
        <f>'Cash Flow Analysis'!G15</f>
        <v>606599.09279070236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7015.9397125111327</v>
      </c>
      <c r="E96" s="50">
        <f>SUM('Loan Amortization Table'!C41:C43)</f>
        <v>7139.4362606239483</v>
      </c>
      <c r="F96" s="50">
        <f>SUM('Loan Amortization Table'!C44:C46)</f>
        <v>7265.1066297815159</v>
      </c>
      <c r="G96" s="50">
        <f>SUM('Loan Amortization Table'!C47:C49)</f>
        <v>7392.9890841945153</v>
      </c>
      <c r="H96" s="32">
        <f>'Cash Flow Analysis'!G18</f>
        <v>28813.471687111116</v>
      </c>
    </row>
    <row r="97" spans="3:8">
      <c r="C97" s="12" t="s">
        <v>25</v>
      </c>
      <c r="D97" s="49">
        <f>$H$97/4</f>
        <v>480.66480000000001</v>
      </c>
      <c r="E97" s="49">
        <f t="shared" ref="E97:G97" si="25">$H$97/4</f>
        <v>480.66480000000001</v>
      </c>
      <c r="F97" s="49">
        <f t="shared" si="25"/>
        <v>480.66480000000001</v>
      </c>
      <c r="G97" s="49">
        <f t="shared" si="25"/>
        <v>480.66480000000001</v>
      </c>
      <c r="H97" s="13">
        <f>'Cash Flow Analysis'!G19</f>
        <v>1922.6592000000001</v>
      </c>
    </row>
    <row r="98" spans="3:8">
      <c r="C98" s="31" t="s">
        <v>33</v>
      </c>
      <c r="D98" s="50">
        <f>H98</f>
        <v>100000</v>
      </c>
      <c r="E98" s="50">
        <v>0</v>
      </c>
      <c r="F98" s="50">
        <v>0</v>
      </c>
      <c r="G98" s="50">
        <v>0</v>
      </c>
      <c r="H98" s="32">
        <f>'Cash Flow Analysis'!G20</f>
        <v>100000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362311.4620744214</v>
      </c>
      <c r="H99" s="13">
        <f>'Cash Flow Analysis'!G21</f>
        <v>362311.4620744214</v>
      </c>
    </row>
    <row r="100" spans="3:8">
      <c r="C100" s="37" t="s">
        <v>26</v>
      </c>
      <c r="D100" s="51">
        <f>SUM(D96:D99)</f>
        <v>107496.60451251113</v>
      </c>
      <c r="E100" s="51">
        <f t="shared" ref="E100:G100" si="26">SUM(E96:E99)</f>
        <v>7620.1010606239488</v>
      </c>
      <c r="F100" s="51">
        <f t="shared" si="26"/>
        <v>7745.7714297815164</v>
      </c>
      <c r="G100" s="51">
        <f t="shared" si="26"/>
        <v>370185.1159586159</v>
      </c>
      <c r="H100" s="34">
        <f>'Cash Flow Analysis'!G22</f>
        <v>493047.59296153253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43965.740475897837</v>
      </c>
      <c r="E102" s="52">
        <f t="shared" ref="E102:G102" si="27">E93-E100</f>
        <v>143965.74047589782</v>
      </c>
      <c r="F102" s="52">
        <f t="shared" si="27"/>
        <v>143965.74047589782</v>
      </c>
      <c r="G102" s="52">
        <f t="shared" si="27"/>
        <v>-218345.72159852358</v>
      </c>
      <c r="H102" s="40">
        <f>'Cash Flow Analysis'!G24</f>
        <v>113551.49982916983</v>
      </c>
    </row>
    <row r="103" spans="3:8">
      <c r="C103" s="42" t="s">
        <v>6</v>
      </c>
      <c r="D103" s="52">
        <f>G77+D102</f>
        <v>306219.96745580452</v>
      </c>
      <c r="E103" s="52">
        <f>D103+E102</f>
        <v>450185.70793170237</v>
      </c>
      <c r="F103" s="52">
        <f t="shared" ref="F103:G103" si="28">E103+F102</f>
        <v>594151.44840760017</v>
      </c>
      <c r="G103" s="52">
        <f t="shared" si="28"/>
        <v>375805.72680907662</v>
      </c>
      <c r="H103" s="40">
        <f>'Cash Flow Analysis'!G25</f>
        <v>375805.72680907656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2025-10-03T15:34:03Z</dcterms:modified>
</cp:coreProperties>
</file>